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LIFTON\Desktop\GAM 2019\GAM Data, Analysis\Colombia\RMRP\"/>
    </mc:Choice>
  </mc:AlternateContent>
  <xr:revisionPtr revIDLastSave="0" documentId="13_ncr:1_{1C31943F-727E-42BB-9ACD-59376977A404}" xr6:coauthVersionLast="41" xr6:coauthVersionMax="41" xr10:uidLastSave="{00000000-0000-0000-0000-000000000000}"/>
  <bookViews>
    <workbookView xWindow="-120" yWindow="-120" windowWidth="20730" windowHeight="11160" tabRatio="894" firstSheet="1" activeTab="1" xr2:uid="{6F4E14B5-58FB-4FD3-894C-DD4982C8E448}"/>
  </bookViews>
  <sheets>
    <sheet name="Intro" sheetId="1" state="hidden" r:id="rId1"/>
    <sheet name="Design Data" sheetId="2" r:id="rId2"/>
    <sheet name="Countries" sheetId="24" state="hidden" r:id="rId3"/>
    <sheet name="Coding Data" sheetId="19" r:id="rId4"/>
    <sheet name="GAM Codes" sheetId="23" r:id="rId5"/>
    <sheet name="GEM Codes" sheetId="21" r:id="rId6"/>
    <sheet name="Project Focus" sheetId="20" r:id="rId7"/>
    <sheet name="Design - Analysis" sheetId="4" r:id="rId8"/>
    <sheet name="Analysis - gender" sheetId="5" r:id="rId9"/>
    <sheet name="Analysis - Age" sheetId="6" r:id="rId10"/>
    <sheet name="GEM A Results" sheetId="7" r:id="rId11"/>
    <sheet name="Design - Activities Tailoring" sheetId="8" r:id="rId12"/>
    <sheet name="Tailoring - Gender" sheetId="9" r:id="rId13"/>
    <sheet name="GEM D Results" sheetId="10" r:id="rId14"/>
    <sheet name="Design - Participation" sheetId="11" r:id="rId15"/>
    <sheet name="Participation - Gender" sheetId="12" r:id="rId16"/>
    <sheet name="Participation - Age" sheetId="13" r:id="rId17"/>
    <sheet name="GEM G Results" sheetId="14" r:id="rId18"/>
    <sheet name="Design - Benefit Indicators" sheetId="15" r:id="rId19"/>
    <sheet name="Benefits - Gender" sheetId="16" r:id="rId20"/>
    <sheet name="Benefits - Age" sheetId="17" r:id="rId21"/>
    <sheet name="GEM J Results" sheetId="18" r:id="rId22"/>
  </sheets>
  <externalReferences>
    <externalReference r:id="rId23"/>
    <externalReference r:id="rId2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3" i="2" l="1"/>
  <c r="D111" i="2"/>
  <c r="D110" i="2"/>
  <c r="D109" i="2"/>
  <c r="D108" i="2"/>
  <c r="D107" i="2"/>
  <c r="D106" i="2"/>
  <c r="D105" i="2"/>
  <c r="D101" i="2"/>
  <c r="D100" i="2"/>
  <c r="D99" i="2"/>
  <c r="D98" i="2"/>
  <c r="D97" i="2"/>
  <c r="D96" i="2"/>
  <c r="D85" i="2"/>
  <c r="D84" i="2"/>
  <c r="D83" i="2"/>
  <c r="D82" i="2"/>
  <c r="D81" i="2"/>
  <c r="H71" i="2"/>
  <c r="D77" i="2"/>
  <c r="D76" i="2"/>
  <c r="D75" i="2"/>
  <c r="D74" i="2"/>
  <c r="D73" i="2"/>
  <c r="D72" i="2"/>
  <c r="D71" i="2"/>
  <c r="H37" i="2"/>
  <c r="D43" i="2"/>
  <c r="D42" i="2"/>
  <c r="D41" i="2"/>
  <c r="D40" i="2"/>
  <c r="D39" i="2"/>
  <c r="D38" i="2"/>
  <c r="D37" i="2"/>
  <c r="D58" i="2" l="1"/>
  <c r="D57" i="2"/>
  <c r="D56" i="2"/>
  <c r="D55" i="2"/>
  <c r="C18" i="19"/>
  <c r="C17" i="19"/>
  <c r="C16" i="19"/>
  <c r="C15" i="19"/>
  <c r="C14" i="19"/>
  <c r="C13" i="19"/>
  <c r="C12" i="19"/>
  <c r="C11" i="19"/>
  <c r="C10" i="19"/>
  <c r="C9" i="19"/>
  <c r="D44" i="2"/>
  <c r="D34" i="2"/>
  <c r="D152" i="2"/>
  <c r="D140" i="2"/>
  <c r="D112" i="2"/>
  <c r="D102" i="2"/>
  <c r="D78" i="2"/>
  <c r="D68" i="2"/>
  <c r="D128" i="2"/>
  <c r="D127" i="2"/>
  <c r="D126" i="2"/>
  <c r="D125" i="2"/>
  <c r="D124" i="2"/>
  <c r="D123" i="2"/>
  <c r="D139" i="2"/>
  <c r="D138" i="2"/>
  <c r="D137" i="2"/>
  <c r="D136" i="2"/>
  <c r="D135" i="2"/>
  <c r="D134" i="2"/>
  <c r="D133" i="2"/>
  <c r="D132" i="2"/>
  <c r="D151" i="2"/>
  <c r="D150" i="2"/>
  <c r="D149" i="2"/>
  <c r="D148" i="2"/>
  <c r="D147" i="2"/>
  <c r="D146" i="2"/>
  <c r="D145" i="2"/>
  <c r="D144" i="2"/>
  <c r="D143" i="2"/>
  <c r="D159" i="2"/>
  <c r="D158" i="2"/>
  <c r="D157" i="2"/>
  <c r="D156" i="2"/>
  <c r="D155" i="2"/>
  <c r="D173" i="2"/>
  <c r="D172" i="2"/>
  <c r="D171" i="2"/>
  <c r="H134" i="2"/>
  <c r="H133" i="2"/>
  <c r="H132" i="2"/>
  <c r="H105" i="2"/>
  <c r="H99" i="2"/>
  <c r="H98" i="2"/>
  <c r="H97" i="2"/>
  <c r="H89" i="2"/>
  <c r="H64" i="2"/>
  <c r="H63" i="2"/>
  <c r="H30" i="2"/>
  <c r="H29" i="2"/>
  <c r="D167" i="2"/>
  <c r="D166" i="2"/>
  <c r="D165" i="2"/>
  <c r="D164" i="2"/>
  <c r="D163" i="2"/>
  <c r="D119" i="2"/>
  <c r="D118" i="2"/>
  <c r="D117" i="2"/>
  <c r="D116" i="2"/>
  <c r="D115" i="2"/>
  <c r="D93" i="2"/>
  <c r="D92" i="2"/>
  <c r="D91" i="2"/>
  <c r="D90" i="2"/>
  <c r="D89" i="2"/>
  <c r="D67" i="2"/>
  <c r="D66" i="2"/>
  <c r="D65" i="2"/>
  <c r="D64" i="2"/>
  <c r="D63" i="2"/>
  <c r="D62" i="2"/>
  <c r="D61" i="2"/>
  <c r="D51" i="2"/>
  <c r="D50" i="2"/>
  <c r="D49" i="2"/>
  <c r="D48" i="2"/>
  <c r="D47" i="2"/>
  <c r="D33" i="2"/>
  <c r="D32" i="2"/>
  <c r="D31" i="2"/>
  <c r="D30" i="2"/>
  <c r="D29" i="2"/>
  <c r="D26" i="2"/>
  <c r="D25" i="2"/>
  <c r="D24" i="2"/>
  <c r="E126" i="2" l="1"/>
  <c r="D168" i="2" l="1"/>
  <c r="D120" i="2" l="1"/>
  <c r="B19" i="24"/>
  <c r="I89" i="2" l="1"/>
  <c r="C19" i="19" l="1"/>
  <c r="E14" i="19" s="1"/>
  <c r="J6" i="19"/>
  <c r="J5" i="19"/>
  <c r="J4" i="19"/>
  <c r="J2" i="19"/>
  <c r="E152" i="2"/>
  <c r="I143" i="2"/>
  <c r="I134" i="2"/>
  <c r="I133" i="2"/>
  <c r="I132" i="2"/>
  <c r="I105" i="2"/>
  <c r="I99" i="2"/>
  <c r="I98" i="2"/>
  <c r="I97" i="2"/>
  <c r="I71" i="2"/>
  <c r="I64" i="2"/>
  <c r="I63" i="2"/>
  <c r="E140" i="2"/>
  <c r="E112" i="2"/>
  <c r="E102" i="2"/>
  <c r="E101" i="2"/>
  <c r="E100" i="2"/>
  <c r="E99" i="2"/>
  <c r="E98" i="2"/>
  <c r="E97" i="2"/>
  <c r="E96" i="2"/>
  <c r="E92" i="2"/>
  <c r="E91" i="2"/>
  <c r="E90" i="2"/>
  <c r="E89" i="2"/>
  <c r="E93" i="2"/>
  <c r="E85" i="2"/>
  <c r="E84" i="2"/>
  <c r="E83" i="2"/>
  <c r="E82" i="2"/>
  <c r="E81" i="2"/>
  <c r="E78" i="2"/>
  <c r="E68" i="2"/>
  <c r="E34" i="2"/>
  <c r="E67" i="2"/>
  <c r="E66" i="2"/>
  <c r="E65" i="2"/>
  <c r="E64" i="2"/>
  <c r="E63" i="2"/>
  <c r="E62" i="2"/>
  <c r="E61" i="2"/>
  <c r="E58" i="2"/>
  <c r="E57" i="2"/>
  <c r="E56" i="2"/>
  <c r="E55" i="2"/>
  <c r="E51" i="2"/>
  <c r="E50" i="2"/>
  <c r="E49" i="2"/>
  <c r="E48" i="2"/>
  <c r="E37" i="2"/>
  <c r="E44" i="2"/>
  <c r="I37" i="2"/>
  <c r="E43" i="2"/>
  <c r="E42" i="2"/>
  <c r="E41" i="2"/>
  <c r="E40" i="2"/>
  <c r="E39" i="2"/>
  <c r="E38" i="2"/>
  <c r="I30" i="2"/>
  <c r="I29" i="2"/>
  <c r="E33" i="2"/>
  <c r="E32" i="2"/>
  <c r="E31" i="2"/>
  <c r="E30" i="2"/>
  <c r="E29" i="2"/>
  <c r="E47" i="2" l="1"/>
  <c r="D52" i="2"/>
  <c r="E15" i="19"/>
  <c r="E10" i="19"/>
  <c r="E17" i="19"/>
  <c r="E18" i="19"/>
  <c r="E12" i="19"/>
  <c r="E13" i="19"/>
  <c r="E16" i="19"/>
  <c r="E9" i="19"/>
  <c r="E11" i="19"/>
  <c r="E165" i="2"/>
  <c r="E166" i="2"/>
  <c r="E164" i="2"/>
  <c r="J3" i="19"/>
  <c r="E163" i="2"/>
  <c r="E167" i="2"/>
  <c r="D160" i="2"/>
  <c r="D129" i="2"/>
  <c r="E129" i="2" s="1"/>
  <c r="E26" i="2"/>
  <c r="E25" i="2"/>
  <c r="E24" i="2"/>
  <c r="D86" i="2" l="1"/>
  <c r="D59" i="2"/>
  <c r="D27" i="2"/>
  <c r="E52" i="2" l="1"/>
  <c r="E125" i="2"/>
  <c r="E59" i="2" l="1"/>
  <c r="D174" i="2" l="1"/>
  <c r="E171" i="2" s="1"/>
  <c r="H2" i="19"/>
  <c r="E128" i="2"/>
  <c r="E127" i="2"/>
  <c r="E124" i="2"/>
  <c r="E123" i="2"/>
  <c r="F4" i="19"/>
  <c r="D3" i="19"/>
  <c r="B2" i="19"/>
  <c r="E151" i="2"/>
  <c r="E150" i="2"/>
  <c r="E149" i="2"/>
  <c r="E148" i="2"/>
  <c r="E147" i="2"/>
  <c r="E146" i="2"/>
  <c r="E145" i="2"/>
  <c r="E144" i="2"/>
  <c r="E143" i="2"/>
  <c r="E139" i="2"/>
  <c r="E138" i="2"/>
  <c r="E137" i="2"/>
  <c r="E136" i="2"/>
  <c r="E135" i="2"/>
  <c r="E134" i="2"/>
  <c r="E133" i="2"/>
  <c r="E132" i="2"/>
  <c r="E111" i="2"/>
  <c r="E110" i="2"/>
  <c r="E109" i="2"/>
  <c r="E108" i="2"/>
  <c r="E107" i="2"/>
  <c r="E106" i="2"/>
  <c r="E105" i="2"/>
  <c r="E77" i="2"/>
  <c r="E76" i="2"/>
  <c r="E75" i="2"/>
  <c r="E74" i="2"/>
  <c r="E73" i="2"/>
  <c r="E72" i="2"/>
  <c r="E71" i="2"/>
  <c r="D53" i="1"/>
  <c r="E53" i="1" s="1"/>
  <c r="D52" i="1"/>
  <c r="E52" i="1" s="1"/>
  <c r="D51" i="1"/>
  <c r="E51" i="1" s="1"/>
  <c r="D48" i="1"/>
  <c r="E48" i="1" s="1"/>
  <c r="D47" i="1"/>
  <c r="E47" i="1" s="1"/>
  <c r="D46" i="1"/>
  <c r="E46" i="1" s="1"/>
  <c r="D45" i="1"/>
  <c r="E45" i="1" s="1"/>
  <c r="D44" i="1"/>
  <c r="E44" i="1" s="1"/>
  <c r="D43" i="1"/>
  <c r="E43" i="1" s="1"/>
  <c r="D40" i="1"/>
  <c r="E40" i="1" s="1"/>
  <c r="D39" i="1"/>
  <c r="E39" i="1" s="1"/>
  <c r="D38" i="1"/>
  <c r="E38" i="1" s="1"/>
  <c r="D37" i="1"/>
  <c r="E37" i="1" s="1"/>
  <c r="D36" i="1"/>
  <c r="E36" i="1" s="1"/>
  <c r="D35" i="1"/>
  <c r="E35" i="1" s="1"/>
  <c r="E173" i="2" l="1"/>
  <c r="E27" i="2"/>
  <c r="J7" i="19"/>
  <c r="E172" i="2"/>
  <c r="B4" i="19"/>
  <c r="D5" i="19"/>
  <c r="B6" i="19"/>
  <c r="D2" i="19"/>
  <c r="E118" i="2"/>
  <c r="F5" i="19"/>
  <c r="E156" i="2"/>
  <c r="H3" i="19"/>
  <c r="E115" i="2"/>
  <c r="F2" i="19"/>
  <c r="E119" i="2"/>
  <c r="F6" i="19"/>
  <c r="E157" i="2"/>
  <c r="H4" i="19"/>
  <c r="E155" i="2"/>
  <c r="H6" i="19"/>
  <c r="E117" i="2"/>
  <c r="B5" i="19"/>
  <c r="D6" i="19"/>
  <c r="B3" i="19"/>
  <c r="D4" i="19"/>
  <c r="E116" i="2"/>
  <c r="F3" i="19"/>
  <c r="E158" i="2"/>
  <c r="H5" i="19"/>
  <c r="E159" i="2"/>
  <c r="E174" i="2" l="1"/>
  <c r="B7" i="19"/>
  <c r="C5" i="19" s="1"/>
  <c r="H7" i="19"/>
  <c r="F7" i="19"/>
  <c r="D7" i="19"/>
  <c r="C6" i="19" l="1"/>
  <c r="E5" i="19"/>
  <c r="G5" i="19"/>
  <c r="I6" i="19"/>
  <c r="I5" i="19"/>
  <c r="C4" i="19"/>
  <c r="I3" i="19"/>
  <c r="E2" i="19"/>
  <c r="I4" i="19"/>
  <c r="G6" i="19"/>
  <c r="G2" i="19"/>
  <c r="C2" i="19"/>
  <c r="E3" i="19"/>
  <c r="K3" i="19"/>
  <c r="K4" i="19"/>
  <c r="K5" i="19"/>
  <c r="K6" i="19"/>
  <c r="G4" i="19"/>
  <c r="I2" i="19"/>
  <c r="K2" i="19"/>
  <c r="E4" i="19"/>
  <c r="C3" i="19"/>
  <c r="E6" i="19"/>
  <c r="G3" i="19"/>
</calcChain>
</file>

<file path=xl/sharedStrings.xml><?xml version="1.0" encoding="utf-8"?>
<sst xmlns="http://schemas.openxmlformats.org/spreadsheetml/2006/main" count="421" uniqueCount="236">
  <si>
    <t>name</t>
  </si>
  <si>
    <t>YES</t>
  </si>
  <si>
    <t>I have a reference number that I will enter below</t>
  </si>
  <si>
    <t>NONE</t>
  </si>
  <si>
    <t>I'm registering a new project and don't have a reference number</t>
  </si>
  <si>
    <t>FORGOT</t>
  </si>
  <si>
    <t>I previously registered this project but I have forgotten my reference number</t>
  </si>
  <si>
    <t>CCM</t>
  </si>
  <si>
    <t>Camp Coordination / Management (CCCM)</t>
  </si>
  <si>
    <t>ERY</t>
  </si>
  <si>
    <t>Early Recovery</t>
  </si>
  <si>
    <t>EDU</t>
  </si>
  <si>
    <t>Education</t>
  </si>
  <si>
    <t>TEL</t>
  </si>
  <si>
    <t>Emergency Telecommunications</t>
  </si>
  <si>
    <t>FSC</t>
  </si>
  <si>
    <t>Food Security</t>
  </si>
  <si>
    <t>HEA</t>
  </si>
  <si>
    <t>Health</t>
  </si>
  <si>
    <t>HEA-REP</t>
  </si>
  <si>
    <t>Reproductive Health</t>
  </si>
  <si>
    <t>HEA-MHP</t>
  </si>
  <si>
    <t>MHPSS</t>
  </si>
  <si>
    <t>LVH</t>
  </si>
  <si>
    <t>Livelihoods</t>
  </si>
  <si>
    <t>LOG</t>
  </si>
  <si>
    <t>Logistics</t>
  </si>
  <si>
    <t>NFI</t>
  </si>
  <si>
    <t>NFIs</t>
  </si>
  <si>
    <t>NUT</t>
  </si>
  <si>
    <t>Nutrition</t>
  </si>
  <si>
    <t>PRO</t>
  </si>
  <si>
    <t>Protection</t>
  </si>
  <si>
    <t>PRO-CPN</t>
  </si>
  <si>
    <t>Child Protection</t>
  </si>
  <si>
    <t>PRO-GBV</t>
  </si>
  <si>
    <t>Gender-Based Violence</t>
  </si>
  <si>
    <t>PRO-HLP</t>
  </si>
  <si>
    <t>Housing Land &amp; Property</t>
  </si>
  <si>
    <t>PRO-MIN</t>
  </si>
  <si>
    <t>Mine Action</t>
  </si>
  <si>
    <t>SHL</t>
  </si>
  <si>
    <t>Shelter</t>
  </si>
  <si>
    <t>WSH</t>
  </si>
  <si>
    <t>WASH</t>
  </si>
  <si>
    <t>OTHER</t>
  </si>
  <si>
    <t>Other</t>
  </si>
  <si>
    <t>CT</t>
  </si>
  <si>
    <t>The project has no contact with affected people</t>
  </si>
  <si>
    <t>SL</t>
  </si>
  <si>
    <t>The project has no influence on the selection of goods and services</t>
  </si>
  <si>
    <t>DV</t>
  </si>
  <si>
    <t>The project has no influence on how goods and services are delivered</t>
  </si>
  <si>
    <t>W</t>
  </si>
  <si>
    <t>Women</t>
  </si>
  <si>
    <t>G</t>
  </si>
  <si>
    <t>Girls</t>
  </si>
  <si>
    <t>B</t>
  </si>
  <si>
    <t>Boys</t>
  </si>
  <si>
    <t>M</t>
  </si>
  <si>
    <t>Men</t>
  </si>
  <si>
    <t>D</t>
  </si>
  <si>
    <t>Diverse gender</t>
  </si>
  <si>
    <t>SGI</t>
  </si>
  <si>
    <t>SGP</t>
  </si>
  <si>
    <t>Project only works with one gender group</t>
  </si>
  <si>
    <t>NS</t>
  </si>
  <si>
    <t>Gender not specified</t>
  </si>
  <si>
    <t>NA</t>
  </si>
  <si>
    <t>Not applicable</t>
  </si>
  <si>
    <t>EQA</t>
  </si>
  <si>
    <t>Are all the same because everyone should get the same</t>
  </si>
  <si>
    <t>YC</t>
  </si>
  <si>
    <t>Young children</t>
  </si>
  <si>
    <t>CH</t>
  </si>
  <si>
    <t>Children</t>
  </si>
  <si>
    <t>AD</t>
  </si>
  <si>
    <t>Adolescents</t>
  </si>
  <si>
    <t>YA</t>
  </si>
  <si>
    <t>Young adults</t>
  </si>
  <si>
    <t>MA</t>
  </si>
  <si>
    <t>Middle-aged adults</t>
  </si>
  <si>
    <t>OA</t>
  </si>
  <si>
    <t>Older adults</t>
  </si>
  <si>
    <t>Project only works with one age group</t>
  </si>
  <si>
    <t>Age not specified</t>
  </si>
  <si>
    <t>Design phase</t>
  </si>
  <si>
    <t>Monitoring phase - During implementation</t>
  </si>
  <si>
    <t>E</t>
  </si>
  <si>
    <t>Monitoring phase - End of project</t>
  </si>
  <si>
    <t>Needs, roles and dynamics</t>
  </si>
  <si>
    <t>Needs</t>
  </si>
  <si>
    <t>No needs analysis yet</t>
  </si>
  <si>
    <t>Different needs, roles and dynamics</t>
  </si>
  <si>
    <t>Assessing needs</t>
  </si>
  <si>
    <t>Designing activities</t>
  </si>
  <si>
    <t>Delivering assistance</t>
  </si>
  <si>
    <t>Age</t>
  </si>
  <si>
    <t>DJ</t>
  </si>
  <si>
    <t>label</t>
  </si>
  <si>
    <t>PP_HavePGRN</t>
  </si>
  <si>
    <t>options</t>
  </si>
  <si>
    <t>If you are updating information about a project that you have already previously registered in this tool, then please enter your Project GAM Reference Number below.</t>
  </si>
  <si>
    <t>PH_Phase</t>
  </si>
  <si>
    <t>Select project phase</t>
  </si>
  <si>
    <t>PJ_Sectors</t>
  </si>
  <si>
    <t>Select sectors/clusters</t>
  </si>
  <si>
    <t>PJ_GenGrps</t>
  </si>
  <si>
    <t>Gender groups</t>
  </si>
  <si>
    <t>PJ_AgeGrps</t>
  </si>
  <si>
    <t>Age groups</t>
  </si>
  <si>
    <t>PJ_ConfirmNA</t>
  </si>
  <si>
    <t>Please confirm that gender groups are not applicable</t>
  </si>
  <si>
    <t>DA_Action</t>
  </si>
  <si>
    <t>There is a written needs analysis in the proposal which discusses:</t>
  </si>
  <si>
    <t>DA_Gender</t>
  </si>
  <si>
    <t>The distinct needs etc. of the following gender group(s) are discussed in the written needs analysis:</t>
  </si>
  <si>
    <t>The following age groups of women, girls, boys and men are discussed in this needs gender analysis:</t>
  </si>
  <si>
    <t>DA_Age</t>
  </si>
  <si>
    <t>DA</t>
  </si>
  <si>
    <t>Design GEM A</t>
  </si>
  <si>
    <t>DD</t>
  </si>
  <si>
    <t>Design GEM D</t>
  </si>
  <si>
    <t>DD_Action</t>
  </si>
  <si>
    <t>The proposed assistance is tailored based on:</t>
  </si>
  <si>
    <t>DD_Gender</t>
  </si>
  <si>
    <t>The activities/items are tailored on the distinct needs/roles/dynamics/discrimination of the following gender group(s):</t>
  </si>
  <si>
    <t>The activities/items are tailored for the following age group(s) of women, girls, boys and/or men:</t>
  </si>
  <si>
    <t>DD_Age</t>
  </si>
  <si>
    <t>Design GEM G</t>
  </si>
  <si>
    <t>DG</t>
  </si>
  <si>
    <t>DG_Action</t>
  </si>
  <si>
    <t>The proposal outlines how it engages affected people in the following processes of project management:</t>
  </si>
  <si>
    <t>DG_Gender</t>
  </si>
  <si>
    <t>The following gender groups directly influence project management:</t>
  </si>
  <si>
    <t>The following age groups of women, girls, boys and men directly influence project management:</t>
  </si>
  <si>
    <t>DG_Age</t>
  </si>
  <si>
    <t>Design GEM J</t>
  </si>
  <si>
    <t>DJ_Action</t>
  </si>
  <si>
    <t>The proposal contains at least one indicator that measures distinct benefits for people in need:</t>
  </si>
  <si>
    <t>DJ_Gender</t>
  </si>
  <si>
    <t>At least one indicator is disaggregated by the following gender groups:</t>
  </si>
  <si>
    <t>DJ_Age</t>
  </si>
  <si>
    <t>At least one indicator is disaggregated by the following age groups:</t>
  </si>
  <si>
    <t>Gender</t>
  </si>
  <si>
    <t>STANDARD RESPONSES</t>
  </si>
  <si>
    <t>In the sections below, expand [+] to see all responses, collapse [-] to see non-standard responses only</t>
  </si>
  <si>
    <t>GEM CODE A</t>
  </si>
  <si>
    <t>GEM CODE D</t>
  </si>
  <si>
    <t>GEM CODE J</t>
  </si>
  <si>
    <t>GEM CODE G</t>
  </si>
  <si>
    <t>TOTAL PROJECTS NOT INCLUDING N/A</t>
  </si>
  <si>
    <t>(total projects INCLUDING N/A - ENTER MANUALLY)</t>
  </si>
  <si>
    <t>Code 4 - Gender &amp; Age</t>
  </si>
  <si>
    <t>Code 3 -Gender Only</t>
  </si>
  <si>
    <t>Code 2 - Age Only</t>
  </si>
  <si>
    <t xml:space="preserve">Code 1 - No gender or age </t>
  </si>
  <si>
    <t>Code 0 - No Analysis</t>
  </si>
  <si>
    <t>Code 0 - No Tailoring</t>
  </si>
  <si>
    <t>Not involved</t>
  </si>
  <si>
    <t>Reviewing, changing</t>
  </si>
  <si>
    <t>Indicators measure needs met</t>
  </si>
  <si>
    <t>Indicators measure activities delivered</t>
  </si>
  <si>
    <t>No indicators</t>
  </si>
  <si>
    <t>Indicators unrelated to benefits</t>
  </si>
  <si>
    <t>Code 0 - No Benefit Indicators</t>
  </si>
  <si>
    <t>Code 0 - No Participation</t>
  </si>
  <si>
    <t>PROJECT GAM CODES</t>
  </si>
  <si>
    <t>PROJECT GAM CODE</t>
  </si>
  <si>
    <t>Code 4 - Gender &amp; Age Addressed</t>
  </si>
  <si>
    <t>T</t>
  </si>
  <si>
    <t>Total</t>
  </si>
  <si>
    <t>PROJECT FOCUS</t>
  </si>
  <si>
    <t>Gender mainstreamed</t>
  </si>
  <si>
    <t>Targeted (project purpose is to increase equality)</t>
  </si>
  <si>
    <t>0 - Element not present</t>
  </si>
  <si>
    <t>One group monitored though project serves all</t>
  </si>
  <si>
    <t># Projects</t>
  </si>
  <si>
    <t>%</t>
  </si>
  <si>
    <t>#
(GEM D)</t>
  </si>
  <si>
    <t>#
(GEM G)</t>
  </si>
  <si>
    <t>#
(GEM J)</t>
  </si>
  <si>
    <t># GAM CODES</t>
  </si>
  <si>
    <t>Activities do not address needs</t>
  </si>
  <si>
    <t>Social gendered barriers &amp; discrimination</t>
  </si>
  <si>
    <t>3 2</t>
  </si>
  <si>
    <t>Indicators measure BOTH needs met &amp; activities delivered</t>
  </si>
  <si>
    <t>Analysis 
(GEM A)</t>
  </si>
  <si>
    <t>Analysis 
(GEM D)</t>
  </si>
  <si>
    <t>Analysis 
(GEM G)</t>
  </si>
  <si>
    <t>Analysis 
(GEM J)</t>
  </si>
  <si>
    <t>Blanks</t>
  </si>
  <si>
    <t xml:space="preserve">ALL </t>
  </si>
  <si>
    <t>wgbm</t>
  </si>
  <si>
    <t>D only</t>
  </si>
  <si>
    <t>ALL</t>
  </si>
  <si>
    <t>PROJECTS, NOT INCLUDING N/A</t>
  </si>
  <si>
    <t>Code 3 - Gender (only) Addressed</t>
  </si>
  <si>
    <t>Code 2 - Age (only) Addressed</t>
  </si>
  <si>
    <t>Code 1 - Neither gender/age</t>
  </si>
  <si>
    <t># Projects
(GEM A)</t>
  </si>
  <si>
    <t>Gender Not Applicable</t>
  </si>
  <si>
    <t>4M</t>
  </si>
  <si>
    <t>4T</t>
  </si>
  <si>
    <t>3M</t>
  </si>
  <si>
    <t>3T</t>
  </si>
  <si>
    <t>2M</t>
  </si>
  <si>
    <t>1M</t>
  </si>
  <si>
    <t>1T</t>
  </si>
  <si>
    <t>Codes</t>
  </si>
  <si>
    <t>Country</t>
  </si>
  <si>
    <t>Total # of Projects</t>
  </si>
  <si>
    <t>Argentina</t>
  </si>
  <si>
    <t>Aruba</t>
  </si>
  <si>
    <t>Bolivia</t>
  </si>
  <si>
    <t>Chile</t>
  </si>
  <si>
    <t>Colombia</t>
  </si>
  <si>
    <t>Costa Rica</t>
  </si>
  <si>
    <t>Curacao</t>
  </si>
  <si>
    <t>Dominican Republic</t>
  </si>
  <si>
    <t>Ecuador</t>
  </si>
  <si>
    <t>Guyana</t>
  </si>
  <si>
    <t>Mexico</t>
  </si>
  <si>
    <t>Panama</t>
  </si>
  <si>
    <t>Peru</t>
  </si>
  <si>
    <t>Paraguay</t>
  </si>
  <si>
    <t>Trinidad &amp; Tobago</t>
  </si>
  <si>
    <t>Uruguay</t>
  </si>
  <si>
    <t>Gender Analysis Quality</t>
  </si>
  <si>
    <t>Good</t>
  </si>
  <si>
    <t>Limited</t>
  </si>
  <si>
    <t>Not yet /none</t>
  </si>
  <si>
    <t>2T</t>
  </si>
  <si>
    <t>ch</t>
  </si>
  <si>
    <t>3 1</t>
  </si>
  <si>
    <t>(ERROR)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</si>
</sst>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8"/>
      <color theme="1"/>
      <name val="Arial"/>
      <family val="2"/>
    </font>
    <font>
      <sz val="8"/>
      <name val="Arial"/>
      <family val="2"/>
    </font>
    <font>
      <b/>
      <sz val="8"/>
      <color theme="1"/>
      <name val="Arial"/>
      <family val="2"/>
    </font>
    <font>
      <b/>
      <sz val="8"/>
      <name val="Arial"/>
      <family val="2"/>
    </font>
    <font>
      <b/>
      <sz val="11"/>
      <color theme="1"/>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9"/>
      <color rgb="FF000000"/>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s>
  <borders count="8">
    <border>
      <left/>
      <right/>
      <top/>
      <bottom/>
      <diagonal/>
    </border>
    <border>
      <left/>
      <right/>
      <top/>
      <bottom style="thin">
        <color indexed="64"/>
      </bottom>
      <diagonal/>
    </border>
    <border>
      <left/>
      <right/>
      <top style="thin">
        <color theme="4" tint="0.39997558519241921"/>
      </top>
      <bottom style="thin">
        <color theme="4" tint="0.39997558519241921"/>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84">
    <xf numFmtId="0" fontId="0" fillId="0" borderId="0" xfId="0"/>
    <xf numFmtId="0" fontId="1" fillId="0" borderId="0" xfId="0" applyFont="1" applyAlignment="1">
      <alignment vertical="top"/>
    </xf>
    <xf numFmtId="0" fontId="1" fillId="0" borderId="0" xfId="0" applyFont="1" applyAlignment="1">
      <alignment vertical="top" wrapText="1"/>
    </xf>
    <xf numFmtId="0" fontId="2" fillId="0" borderId="0" xfId="0" applyFont="1" applyFill="1" applyBorder="1" applyAlignment="1" applyProtection="1">
      <alignment vertical="top"/>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vertical="top" wrapText="1"/>
    </xf>
    <xf numFmtId="0" fontId="3" fillId="0" borderId="0" xfId="0" applyFont="1" applyAlignment="1">
      <alignment vertical="top"/>
    </xf>
    <xf numFmtId="0" fontId="3" fillId="0" borderId="0" xfId="0" applyFont="1" applyAlignment="1">
      <alignment vertical="top" wrapText="1"/>
    </xf>
    <xf numFmtId="0" fontId="2" fillId="2" borderId="0" xfId="0" applyFont="1" applyFill="1" applyBorder="1" applyAlignment="1" applyProtection="1">
      <alignment vertical="top"/>
    </xf>
    <xf numFmtId="0" fontId="3" fillId="2" borderId="0" xfId="0" applyFont="1" applyFill="1" applyAlignment="1">
      <alignment vertical="top"/>
    </xf>
    <xf numFmtId="0" fontId="1" fillId="2" borderId="0" xfId="0" applyFont="1" applyFill="1" applyAlignment="1">
      <alignment vertical="top" wrapText="1"/>
    </xf>
    <xf numFmtId="0" fontId="2" fillId="2" borderId="0" xfId="0" applyFont="1" applyFill="1" applyBorder="1" applyAlignment="1" applyProtection="1">
      <alignment horizontal="left" vertical="top"/>
    </xf>
    <xf numFmtId="9" fontId="0" fillId="0" borderId="0" xfId="0" applyNumberFormat="1"/>
    <xf numFmtId="0" fontId="4" fillId="0" borderId="0" xfId="0" applyFont="1" applyFill="1" applyBorder="1" applyAlignment="1" applyProtection="1">
      <alignment horizontal="right" vertical="top" wrapText="1"/>
    </xf>
    <xf numFmtId="0" fontId="5" fillId="0" borderId="0" xfId="0" applyFont="1"/>
    <xf numFmtId="0" fontId="5" fillId="0" borderId="0" xfId="0" applyFont="1" applyAlignment="1">
      <alignment vertical="center"/>
    </xf>
    <xf numFmtId="0" fontId="6" fillId="0" borderId="0" xfId="0" applyFont="1"/>
    <xf numFmtId="0" fontId="7" fillId="0" borderId="0" xfId="0" applyFont="1" applyAlignment="1">
      <alignment horizontal="center" wrapText="1"/>
    </xf>
    <xf numFmtId="0" fontId="7" fillId="0" borderId="0" xfId="0" applyFont="1" applyFill="1"/>
    <xf numFmtId="0" fontId="6" fillId="0" borderId="0" xfId="0" applyFont="1" applyAlignment="1">
      <alignment horizontal="left" wrapText="1"/>
    </xf>
    <xf numFmtId="0" fontId="6" fillId="0" borderId="0" xfId="0" applyFont="1" applyAlignment="1">
      <alignment horizontal="center"/>
    </xf>
    <xf numFmtId="9" fontId="6" fillId="0" borderId="0" xfId="0" applyNumberFormat="1" applyFont="1" applyAlignment="1">
      <alignment horizontal="center"/>
    </xf>
    <xf numFmtId="0" fontId="7" fillId="0" borderId="0" xfId="0" applyFont="1" applyAlignment="1">
      <alignment wrapText="1"/>
    </xf>
    <xf numFmtId="0" fontId="6" fillId="0" borderId="0" xfId="0" applyNumberFormat="1" applyFont="1" applyBorder="1"/>
    <xf numFmtId="0" fontId="6" fillId="0" borderId="0" xfId="0" applyFont="1" applyBorder="1"/>
    <xf numFmtId="0" fontId="6" fillId="0" borderId="0" xfId="0" applyFont="1" applyFill="1" applyBorder="1"/>
    <xf numFmtId="0" fontId="7" fillId="0" borderId="0" xfId="0" applyFont="1"/>
    <xf numFmtId="9" fontId="5" fillId="0" borderId="0" xfId="0" applyNumberFormat="1" applyFont="1" applyAlignment="1">
      <alignment vertical="center"/>
    </xf>
    <xf numFmtId="0" fontId="6" fillId="0" borderId="0" xfId="0" applyFont="1" applyFill="1"/>
    <xf numFmtId="0" fontId="6" fillId="0" borderId="0" xfId="0" applyFont="1" applyFill="1" applyBorder="1" applyAlignment="1">
      <alignment horizontal="center" wrapText="1"/>
    </xf>
    <xf numFmtId="0" fontId="6" fillId="0" borderId="0" xfId="0" applyNumberFormat="1" applyFont="1" applyFill="1" applyBorder="1"/>
    <xf numFmtId="0" fontId="6" fillId="0" borderId="0" xfId="0" applyNumberFormat="1" applyFont="1" applyFill="1" applyBorder="1" applyAlignment="1">
      <alignment horizont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horizontal="center"/>
    </xf>
    <xf numFmtId="0" fontId="0" fillId="0" borderId="0" xfId="0" applyFont="1" applyAlignment="1">
      <alignment vertical="center"/>
    </xf>
    <xf numFmtId="0" fontId="0" fillId="0" borderId="0" xfId="0" applyFont="1"/>
    <xf numFmtId="0" fontId="0" fillId="0" borderId="0" xfId="0" applyFont="1" applyAlignment="1">
      <alignment horizontal="center" vertical="center"/>
    </xf>
    <xf numFmtId="9" fontId="0" fillId="0" borderId="0" xfId="0" applyNumberFormat="1" applyFont="1" applyAlignment="1">
      <alignment vertical="center"/>
    </xf>
    <xf numFmtId="164" fontId="0" fillId="0" borderId="0" xfId="0" applyNumberFormat="1" applyFont="1" applyAlignment="1">
      <alignment vertical="center"/>
    </xf>
    <xf numFmtId="9" fontId="0" fillId="0" borderId="0" xfId="0" applyNumberFormat="1" applyFont="1"/>
    <xf numFmtId="0" fontId="5" fillId="0" borderId="0" xfId="0" applyFont="1" applyAlignment="1">
      <alignment vertical="center" wrapText="1"/>
    </xf>
    <xf numFmtId="0" fontId="0" fillId="2" borderId="0" xfId="0" applyFont="1" applyFill="1" applyAlignment="1">
      <alignment vertical="center"/>
    </xf>
    <xf numFmtId="0" fontId="5" fillId="2" borderId="0" xfId="0" applyFont="1" applyFill="1" applyAlignment="1">
      <alignment vertical="center"/>
    </xf>
    <xf numFmtId="0" fontId="0" fillId="2" borderId="0" xfId="0" applyFont="1" applyFill="1" applyAlignment="1">
      <alignment vertical="center" wrapText="1"/>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vertical="center" wrapText="1"/>
    </xf>
    <xf numFmtId="0" fontId="8" fillId="0" borderId="0" xfId="0" applyFont="1" applyFill="1" applyAlignment="1" applyProtection="1">
      <alignment vertical="center" wrapText="1"/>
    </xf>
    <xf numFmtId="0" fontId="5" fillId="0" borderId="0" xfId="0" applyFont="1" applyAlignment="1">
      <alignment horizontal="right" vertical="center" wrapText="1"/>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8" fillId="2" borderId="0" xfId="0" applyFont="1" applyFill="1" applyBorder="1" applyAlignment="1" applyProtection="1">
      <alignment vertical="center"/>
    </xf>
    <xf numFmtId="0" fontId="8" fillId="0" borderId="0" xfId="0" applyFont="1" applyFill="1" applyBorder="1" applyAlignment="1" applyProtection="1">
      <alignment vertical="center"/>
    </xf>
    <xf numFmtId="0" fontId="0" fillId="0" borderId="0" xfId="0" applyFont="1" applyAlignment="1">
      <alignment horizontal="left" vertical="center"/>
    </xf>
    <xf numFmtId="0" fontId="0" fillId="0" borderId="0" xfId="0" applyFont="1" applyAlignment="1">
      <alignment vertical="center" wrapText="1"/>
    </xf>
    <xf numFmtId="0" fontId="8" fillId="2" borderId="0" xfId="0" applyFont="1" applyFill="1" applyBorder="1" applyAlignment="1" applyProtection="1">
      <alignment horizontal="left" vertical="center" wrapText="1"/>
    </xf>
    <xf numFmtId="0" fontId="9" fillId="4" borderId="0" xfId="0" applyFont="1" applyFill="1" applyBorder="1" applyAlignment="1" applyProtection="1">
      <alignment vertical="center"/>
    </xf>
    <xf numFmtId="0" fontId="8" fillId="4" borderId="0" xfId="0" applyFont="1" applyFill="1" applyBorder="1" applyAlignment="1" applyProtection="1">
      <alignment vertical="center"/>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vertical="center"/>
    </xf>
    <xf numFmtId="0" fontId="8" fillId="0" borderId="0" xfId="0" applyFont="1" applyFill="1" applyBorder="1" applyAlignment="1" applyProtection="1">
      <alignment vertical="top"/>
    </xf>
    <xf numFmtId="0" fontId="8" fillId="0" borderId="0" xfId="0" applyFont="1" applyFill="1" applyBorder="1" applyAlignment="1" applyProtection="1">
      <alignment vertical="top" wrapText="1"/>
    </xf>
    <xf numFmtId="0" fontId="11" fillId="0" borderId="5"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11" fillId="0" borderId="3" xfId="0" applyFont="1" applyBorder="1" applyAlignment="1">
      <alignment horizontal="right" vertical="center" wrapText="1"/>
    </xf>
    <xf numFmtId="0" fontId="11" fillId="0" borderId="5" xfId="0" applyFont="1" applyBorder="1" applyAlignment="1">
      <alignment horizontal="right" vertical="center" wrapText="1"/>
    </xf>
    <xf numFmtId="0" fontId="7" fillId="0" borderId="0" xfId="0" applyNumberFormat="1" applyFont="1" applyFill="1" applyBorder="1"/>
    <xf numFmtId="0" fontId="7" fillId="0" borderId="0" xfId="0" applyFont="1" applyFill="1" applyBorder="1"/>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0" fillId="0" borderId="0" xfId="0" applyFont="1" applyFill="1"/>
    <xf numFmtId="0" fontId="5" fillId="0" borderId="0" xfId="0" applyFont="1" applyFill="1"/>
    <xf numFmtId="0" fontId="0" fillId="0" borderId="2" xfId="0" applyFont="1" applyFill="1" applyBorder="1" applyAlignment="1">
      <alignment vertical="top"/>
    </xf>
    <xf numFmtId="0" fontId="5" fillId="0" borderId="0" xfId="0" applyFont="1" applyBorder="1" applyAlignment="1">
      <alignment horizontal="center" vertical="center"/>
    </xf>
    <xf numFmtId="0" fontId="10"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cellXfs>
  <cellStyles count="1">
    <cellStyle name="Normal" xfId="0" builtinId="0"/>
  </cellStyles>
  <dxfs count="6">
    <dxf>
      <fill>
        <patternFill>
          <bgColor rgb="FFFFCCCC"/>
        </patternFill>
      </fill>
    </dxf>
    <dxf>
      <border>
        <right style="thin">
          <color auto="1"/>
        </right>
        <vertical/>
        <horizontal/>
      </border>
    </dxf>
    <dxf>
      <fill>
        <patternFill>
          <bgColor theme="0" tint="-0.24994659260841701"/>
        </patternFill>
      </fill>
    </dxf>
    <dxf>
      <fill>
        <patternFill>
          <bgColor rgb="FFFFCCCC"/>
        </patternFill>
      </fill>
    </dxf>
    <dxf>
      <border>
        <right style="thin">
          <color auto="1"/>
        </right>
        <vertical/>
        <horizontal/>
      </border>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hartsheet" Target="chartsheets/sheet9.xml"/><Relationship Id="rId18" Type="http://schemas.openxmlformats.org/officeDocument/2006/relationships/chartsheet" Target="chartsheets/sheet1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hartsheet" Target="chartsheets/sheet17.xml"/><Relationship Id="rId7" Type="http://schemas.openxmlformats.org/officeDocument/2006/relationships/chartsheet" Target="chartsheets/sheet3.xml"/><Relationship Id="rId12" Type="http://schemas.openxmlformats.org/officeDocument/2006/relationships/chartsheet" Target="chartsheets/sheet8.xml"/><Relationship Id="rId17" Type="http://schemas.openxmlformats.org/officeDocument/2006/relationships/chartsheet" Target="chartsheets/sheet1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12.xml"/><Relationship Id="rId20" Type="http://schemas.openxmlformats.org/officeDocument/2006/relationships/chartsheet" Target="chartsheets/sheet16.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7.xml"/><Relationship Id="rId24" Type="http://schemas.openxmlformats.org/officeDocument/2006/relationships/externalLink" Target="externalLinks/externalLink2.xml"/><Relationship Id="rId5" Type="http://schemas.openxmlformats.org/officeDocument/2006/relationships/chartsheet" Target="chartsheets/sheet1.xml"/><Relationship Id="rId15" Type="http://schemas.openxmlformats.org/officeDocument/2006/relationships/chartsheet" Target="chartsheets/sheet11.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chartsheet" Target="chartsheets/sheet6.xml"/><Relationship Id="rId19" Type="http://schemas.openxmlformats.org/officeDocument/2006/relationships/chartsheet" Target="chartsheets/sheet15.xml"/><Relationship Id="rId4" Type="http://schemas.openxmlformats.org/officeDocument/2006/relationships/worksheet" Target="worksheets/sheet4.xml"/><Relationship Id="rId9" Type="http://schemas.openxmlformats.org/officeDocument/2006/relationships/chartsheet" Target="chartsheets/sheet5.xml"/><Relationship Id="rId14" Type="http://schemas.openxmlformats.org/officeDocument/2006/relationships/chartsheet" Target="chartsheets/sheet10.xml"/><Relationship Id="rId22" Type="http://schemas.openxmlformats.org/officeDocument/2006/relationships/chartsheet" Target="chartsheets/sheet18.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Gender</a:t>
            </a:r>
            <a:r>
              <a:rPr lang="en-US" sz="1800" baseline="0"/>
              <a:t> with Age Marker Codes</a:t>
            </a:r>
          </a:p>
          <a:p>
            <a:pPr>
              <a:defRPr sz="1800"/>
            </a:pPr>
            <a:r>
              <a:rPr lang="en-US" sz="1800" baseline="0"/>
              <a:t>Project Design Phase</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'Coding Data'!$A$9:$A$18</c15:sqref>
                  </c15:fullRef>
                </c:ext>
              </c:extLst>
              <c:f>('Coding Data'!$A$9:$A$11,'Coding Data'!$A$13,'Coding Data'!$A$17)</c:f>
              <c:strCache>
                <c:ptCount val="5"/>
                <c:pt idx="0">
                  <c:v>4M</c:v>
                </c:pt>
                <c:pt idx="1">
                  <c:v>4T</c:v>
                </c:pt>
                <c:pt idx="2">
                  <c:v>3M</c:v>
                </c:pt>
                <c:pt idx="3">
                  <c:v>3T</c:v>
                </c:pt>
                <c:pt idx="4">
                  <c:v>2M</c:v>
                </c:pt>
                <c:pt idx="5">
                  <c:v>2T</c:v>
                </c:pt>
                <c:pt idx="6">
                  <c:v>1M</c:v>
                </c:pt>
                <c:pt idx="7">
                  <c:v>1T</c:v>
                </c:pt>
                <c:pt idx="8">
                  <c:v>0</c:v>
                </c:pt>
                <c:pt idx="9">
                  <c:v>NA</c:v>
                </c:pt>
              </c:strCache>
            </c:strRef>
          </c:cat>
          <c:val>
            <c:numRef>
              <c:extLst>
                <c:ext xmlns:c15="http://schemas.microsoft.com/office/drawing/2012/chart" uri="{02D57815-91ED-43cb-92C2-25804820EDAC}">
                  <c15:fullRef>
                    <c15:sqref>'Coding Data'!$B$9:$B$18</c15:sqref>
                  </c15:fullRef>
                </c:ext>
              </c:extLst>
              <c:f>('Coding Data'!$B$9:$B$11,'Coding Data'!$B$13,'Coding Data'!$B$17)</c:f>
            </c:numRef>
          </c:val>
          <c:extLst>
            <c:ext xmlns:c16="http://schemas.microsoft.com/office/drawing/2014/chart" uri="{C3380CC4-5D6E-409C-BE32-E72D297353CC}">
              <c16:uniqueId val="{00000000-968C-4703-95A3-36CA67C9C7BD}"/>
            </c:ext>
          </c:extLst>
        </c:ser>
        <c:ser>
          <c:idx val="2"/>
          <c:order val="2"/>
          <c:spPr>
            <a:solidFill>
              <a:schemeClr val="accent3"/>
            </a:solidFill>
            <a:ln>
              <a:noFill/>
            </a:ln>
            <a:effectLst/>
          </c:spPr>
          <c:invertIfNegative val="0"/>
          <c:cat>
            <c:strRef>
              <c:extLst>
                <c:ext xmlns:c15="http://schemas.microsoft.com/office/drawing/2012/chart" uri="{02D57815-91ED-43cb-92C2-25804820EDAC}">
                  <c15:fullRef>
                    <c15:sqref>'Coding Data'!$A$9:$A$18</c15:sqref>
                  </c15:fullRef>
                </c:ext>
              </c:extLst>
              <c:f>('Coding Data'!$A$9:$A$11,'Coding Data'!$A$13,'Coding Data'!$A$17)</c:f>
              <c:strCache>
                <c:ptCount val="5"/>
                <c:pt idx="0">
                  <c:v>4M</c:v>
                </c:pt>
                <c:pt idx="1">
                  <c:v>4T</c:v>
                </c:pt>
                <c:pt idx="2">
                  <c:v>3M</c:v>
                </c:pt>
                <c:pt idx="3">
                  <c:v>3T</c:v>
                </c:pt>
                <c:pt idx="4">
                  <c:v>2M</c:v>
                </c:pt>
                <c:pt idx="5">
                  <c:v>2T</c:v>
                </c:pt>
                <c:pt idx="6">
                  <c:v>1M</c:v>
                </c:pt>
                <c:pt idx="7">
                  <c:v>1T</c:v>
                </c:pt>
                <c:pt idx="8">
                  <c:v>0</c:v>
                </c:pt>
                <c:pt idx="9">
                  <c:v>NA</c:v>
                </c:pt>
              </c:strCache>
            </c:strRef>
          </c:cat>
          <c:val>
            <c:numRef>
              <c:extLst>
                <c:ext xmlns:c15="http://schemas.microsoft.com/office/drawing/2012/chart" uri="{02D57815-91ED-43cb-92C2-25804820EDAC}">
                  <c15:fullRef>
                    <c15:sqref>'Coding Data'!$D$9:$D$18</c15:sqref>
                  </c15:fullRef>
                </c:ext>
              </c:extLst>
              <c:f>('Coding Data'!$D$9:$D$11,'Coding Data'!$D$13,'Coding Data'!$D$17)</c:f>
            </c:numRef>
          </c:val>
          <c:extLst>
            <c:ext xmlns:c16="http://schemas.microsoft.com/office/drawing/2014/chart" uri="{C3380CC4-5D6E-409C-BE32-E72D297353CC}">
              <c16:uniqueId val="{00000002-968C-4703-95A3-36CA67C9C7BD}"/>
            </c:ext>
          </c:extLst>
        </c:ser>
        <c:ser>
          <c:idx val="3"/>
          <c:order val="3"/>
          <c:spPr>
            <a:solidFill>
              <a:schemeClr val="accent4"/>
            </a:solidFill>
            <a:ln>
              <a:noFill/>
            </a:ln>
            <a:effectLst/>
          </c:spPr>
          <c:invertIfNegative val="0"/>
          <c:cat>
            <c:strRef>
              <c:extLst>
                <c:ext xmlns:c15="http://schemas.microsoft.com/office/drawing/2012/chart" uri="{02D57815-91ED-43cb-92C2-25804820EDAC}">
                  <c15:fullRef>
                    <c15:sqref>'Coding Data'!$A$9:$A$18</c15:sqref>
                  </c15:fullRef>
                </c:ext>
              </c:extLst>
              <c:f>('Coding Data'!$A$9:$A$11,'Coding Data'!$A$13,'Coding Data'!$A$17)</c:f>
              <c:strCache>
                <c:ptCount val="5"/>
                <c:pt idx="0">
                  <c:v>4M</c:v>
                </c:pt>
                <c:pt idx="1">
                  <c:v>4T</c:v>
                </c:pt>
                <c:pt idx="2">
                  <c:v>3M</c:v>
                </c:pt>
                <c:pt idx="3">
                  <c:v>2M</c:v>
                </c:pt>
                <c:pt idx="4">
                  <c:v>0</c:v>
                </c:pt>
              </c:strCache>
            </c:strRef>
          </c:cat>
          <c:val>
            <c:numRef>
              <c:extLst>
                <c:ext xmlns:c15="http://schemas.microsoft.com/office/drawing/2012/chart" uri="{02D57815-91ED-43cb-92C2-25804820EDAC}">
                  <c15:fullRef>
                    <c15:sqref>'Coding Data'!$E$9:$E$18</c15:sqref>
                  </c15:fullRef>
                </c:ext>
              </c:extLst>
              <c:f>('Coding Data'!$E$9:$E$11,'Coding Data'!$E$13,'Coding Data'!$E$17)</c:f>
              <c:numCache>
                <c:formatCode>0%</c:formatCode>
                <c:ptCount val="5"/>
                <c:pt idx="0">
                  <c:v>0.75757575757575757</c:v>
                </c:pt>
                <c:pt idx="1">
                  <c:v>3.0303030303030304E-2</c:v>
                </c:pt>
                <c:pt idx="2">
                  <c:v>9.0909090909090912E-2</c:v>
                </c:pt>
                <c:pt idx="3">
                  <c:v>3.0303030303030304E-2</c:v>
                </c:pt>
                <c:pt idx="4">
                  <c:v>9.0909090909090912E-2</c:v>
                </c:pt>
              </c:numCache>
            </c:numRef>
          </c:val>
          <c:extLst>
            <c:ext xmlns:c16="http://schemas.microsoft.com/office/drawing/2014/chart" uri="{C3380CC4-5D6E-409C-BE32-E72D297353CC}">
              <c16:uniqueId val="{00000003-968C-4703-95A3-36CA67C9C7BD}"/>
            </c:ext>
          </c:extLst>
        </c:ser>
        <c:dLbls>
          <c:showLegendKey val="0"/>
          <c:showVal val="0"/>
          <c:showCatName val="0"/>
          <c:showSerName val="0"/>
          <c:showPercent val="0"/>
          <c:showBubbleSize val="0"/>
        </c:dLbls>
        <c:gapWidth val="219"/>
        <c:overlap val="-27"/>
        <c:axId val="402766976"/>
        <c:axId val="402767304"/>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'Coding Data'!$A$9:$A$18</c15:sqref>
                        </c15:fullRef>
                        <c15:formulaRef>
                          <c15:sqref>('Coding Data'!$A$9:$A$11,'Coding Data'!$A$13,'Coding Data'!$A$17)</c15:sqref>
                        </c15:formulaRef>
                      </c:ext>
                    </c:extLst>
                    <c:strCache>
                      <c:ptCount val="5"/>
                      <c:pt idx="0">
                        <c:v>4M</c:v>
                      </c:pt>
                      <c:pt idx="1">
                        <c:v>4T</c:v>
                      </c:pt>
                      <c:pt idx="2">
                        <c:v>3M</c:v>
                      </c:pt>
                      <c:pt idx="3">
                        <c:v>2M</c:v>
                      </c:pt>
                      <c:pt idx="4">
                        <c:v>0</c:v>
                      </c:pt>
                    </c:strCache>
                  </c:strRef>
                </c:cat>
                <c:val>
                  <c:numRef>
                    <c:extLst>
                      <c:ext uri="{02D57815-91ED-43cb-92C2-25804820EDAC}">
                        <c15:fullRef>
                          <c15:sqref>'Coding Data'!$C$9:$C$18</c15:sqref>
                        </c15:fullRef>
                        <c15:formulaRef>
                          <c15:sqref>('Coding Data'!$C$9:$C$11,'Coding Data'!$C$13,'Coding Data'!$C$17)</c15:sqref>
                        </c15:formulaRef>
                      </c:ext>
                    </c:extLst>
                    <c:numCache>
                      <c:formatCode>General</c:formatCode>
                      <c:ptCount val="5"/>
                      <c:pt idx="0">
                        <c:v>25</c:v>
                      </c:pt>
                      <c:pt idx="1">
                        <c:v>1</c:v>
                      </c:pt>
                      <c:pt idx="2">
                        <c:v>3</c:v>
                      </c:pt>
                      <c:pt idx="3">
                        <c:v>1</c:v>
                      </c:pt>
                      <c:pt idx="4">
                        <c:v>3</c:v>
                      </c:pt>
                    </c:numCache>
                  </c:numRef>
                </c:val>
                <c:extLst>
                  <c:ext xmlns:c16="http://schemas.microsoft.com/office/drawing/2014/chart" uri="{C3380CC4-5D6E-409C-BE32-E72D297353CC}">
                    <c16:uniqueId val="{00000001-968C-4703-95A3-36CA67C9C7BD}"/>
                  </c:ext>
                </c:extLst>
              </c15:ser>
            </c15:filteredBarSeries>
          </c:ext>
        </c:extLst>
      </c:barChart>
      <c:catAx>
        <c:axId val="40276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02767304"/>
        <c:crosses val="autoZero"/>
        <c:auto val="1"/>
        <c:lblAlgn val="ctr"/>
        <c:lblOffset val="100"/>
        <c:noMultiLvlLbl val="0"/>
      </c:catAx>
      <c:valAx>
        <c:axId val="402767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600"/>
                  <a:t>% of Projects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2766976"/>
        <c:crosses val="autoZero"/>
        <c:crossBetween val="between"/>
        <c:min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t>Activities</a:t>
            </a:r>
            <a:r>
              <a:rPr lang="en-US" sz="1800" baseline="0"/>
              <a:t> Tailoring - Gender &amp; Age</a:t>
            </a:r>
            <a:endParaRPr lang="en-US" sz="18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f>'Design Data'!$C$81:$C$85</c:f>
              <c:strCache>
                <c:ptCount val="5"/>
                <c:pt idx="0">
                  <c:v>Code 4 - Gender &amp; Age</c:v>
                </c:pt>
                <c:pt idx="1">
                  <c:v>Code 3 -Gender Only</c:v>
                </c:pt>
                <c:pt idx="2">
                  <c:v>Code 2 - Age Only</c:v>
                </c:pt>
                <c:pt idx="3">
                  <c:v>Code 1 - No gender or age </c:v>
                </c:pt>
                <c:pt idx="4">
                  <c:v>Code 0 - No Tailoring</c:v>
                </c:pt>
              </c:strCache>
            </c:strRef>
          </c:cat>
          <c:val>
            <c:numRef>
              <c:f>'Design Data'!$E$81:$E$85</c:f>
              <c:numCache>
                <c:formatCode>0%</c:formatCode>
                <c:ptCount val="5"/>
                <c:pt idx="0">
                  <c:v>0.75757575757575757</c:v>
                </c:pt>
                <c:pt idx="1">
                  <c:v>3.0303030303030304E-2</c:v>
                </c:pt>
                <c:pt idx="2">
                  <c:v>6.0606060606060608E-2</c:v>
                </c:pt>
                <c:pt idx="3">
                  <c:v>3.0303030303030304E-2</c:v>
                </c:pt>
                <c:pt idx="4">
                  <c:v>0.12121212121212122</c:v>
                </c:pt>
              </c:numCache>
            </c:numRef>
          </c:val>
          <c:extLst>
            <c:ext xmlns:c16="http://schemas.microsoft.com/office/drawing/2014/chart" uri="{C3380CC4-5D6E-409C-BE32-E72D297353CC}">
              <c16:uniqueId val="{00000002-DE7E-4044-9625-32414955D0FC}"/>
            </c:ext>
          </c:extLst>
        </c:ser>
        <c:dLbls>
          <c:showLegendKey val="0"/>
          <c:showVal val="0"/>
          <c:showCatName val="0"/>
          <c:showSerName val="0"/>
          <c:showPercent val="0"/>
          <c:showBubbleSize val="0"/>
        </c:dLbls>
        <c:gapWidth val="182"/>
        <c:axId val="928885816"/>
        <c:axId val="928886800"/>
      </c:barChart>
      <c:catAx>
        <c:axId val="928885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86800"/>
        <c:crosses val="autoZero"/>
        <c:auto val="1"/>
        <c:lblAlgn val="ctr"/>
        <c:lblOffset val="100"/>
        <c:noMultiLvlLbl val="0"/>
      </c:catAx>
      <c:valAx>
        <c:axId val="9288868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85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How</a:t>
            </a:r>
            <a:r>
              <a:rPr lang="en-US" sz="1800" baseline="0"/>
              <a:t> Affected People Will Participate</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w="19050">
              <a:solidFill>
                <a:schemeClr val="lt1"/>
              </a:solidFill>
            </a:ln>
            <a:effectLst/>
          </c:spPr>
          <c:invertIfNegative val="0"/>
          <c:cat>
            <c:strRef>
              <c:f>'Design Data'!$C$89:$C$93</c:f>
              <c:strCache>
                <c:ptCount val="5"/>
                <c:pt idx="0">
                  <c:v>Assessing needs</c:v>
                </c:pt>
                <c:pt idx="1">
                  <c:v>Designing activities</c:v>
                </c:pt>
                <c:pt idx="2">
                  <c:v>Delivering assistance</c:v>
                </c:pt>
                <c:pt idx="3">
                  <c:v>Reviewing, changing</c:v>
                </c:pt>
                <c:pt idx="4">
                  <c:v>Not involved</c:v>
                </c:pt>
              </c:strCache>
            </c:strRef>
          </c:cat>
          <c:val>
            <c:numRef>
              <c:f>'Design Data'!$E$89:$E$93</c:f>
              <c:numCache>
                <c:formatCode>0%</c:formatCode>
                <c:ptCount val="5"/>
                <c:pt idx="0">
                  <c:v>0.84848484848484851</c:v>
                </c:pt>
                <c:pt idx="1">
                  <c:v>0.60606060606060608</c:v>
                </c:pt>
                <c:pt idx="2">
                  <c:v>0.51515151515151514</c:v>
                </c:pt>
                <c:pt idx="3">
                  <c:v>0.24242424242424243</c:v>
                </c:pt>
                <c:pt idx="4">
                  <c:v>3.0303030303030304E-2</c:v>
                </c:pt>
              </c:numCache>
            </c:numRef>
          </c:val>
          <c:extLst>
            <c:ext xmlns:c16="http://schemas.microsoft.com/office/drawing/2014/chart" uri="{C3380CC4-5D6E-409C-BE32-E72D297353CC}">
              <c16:uniqueId val="{00000000-8DFB-4CA6-A7A7-E4D5DFF698D3}"/>
            </c:ext>
          </c:extLst>
        </c:ser>
        <c:dLbls>
          <c:showLegendKey val="0"/>
          <c:showVal val="0"/>
          <c:showCatName val="0"/>
          <c:showSerName val="0"/>
          <c:showPercent val="0"/>
          <c:showBubbleSize val="0"/>
        </c:dLbls>
        <c:gapWidth val="150"/>
        <c:axId val="928858272"/>
        <c:axId val="928856304"/>
      </c:barChart>
      <c:valAx>
        <c:axId val="9288563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8858272"/>
        <c:crosses val="autoZero"/>
        <c:crossBetween val="between"/>
      </c:valAx>
      <c:catAx>
        <c:axId val="92885827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56304"/>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Who Participates?  Gender</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Data'!$C$96:$C$101</c15:sqref>
                  </c15:fullRef>
                </c:ext>
              </c:extLst>
              <c:f>'Design Data'!$C$96:$C$100</c:f>
              <c:strCache>
                <c:ptCount val="5"/>
                <c:pt idx="0">
                  <c:v>Women</c:v>
                </c:pt>
                <c:pt idx="1">
                  <c:v>Girls</c:v>
                </c:pt>
                <c:pt idx="2">
                  <c:v>Boys</c:v>
                </c:pt>
                <c:pt idx="3">
                  <c:v>Men</c:v>
                </c:pt>
                <c:pt idx="4">
                  <c:v>Diverse gender</c:v>
                </c:pt>
              </c:strCache>
            </c:strRef>
          </c:cat>
          <c:val>
            <c:numRef>
              <c:extLst>
                <c:ext xmlns:c15="http://schemas.microsoft.com/office/drawing/2012/chart" uri="{02D57815-91ED-43cb-92C2-25804820EDAC}">
                  <c15:fullRef>
                    <c15:sqref>'Design Data'!$E$96:$E$101</c15:sqref>
                  </c15:fullRef>
                </c:ext>
              </c:extLst>
              <c:f>'Design Data'!$E$96:$E$100</c:f>
              <c:numCache>
                <c:formatCode>0%</c:formatCode>
                <c:ptCount val="5"/>
                <c:pt idx="0">
                  <c:v>0.96969696969696972</c:v>
                </c:pt>
                <c:pt idx="1">
                  <c:v>0.69696969696969702</c:v>
                </c:pt>
                <c:pt idx="2">
                  <c:v>0.60606060606060608</c:v>
                </c:pt>
                <c:pt idx="3">
                  <c:v>0.78787878787878785</c:v>
                </c:pt>
                <c:pt idx="4">
                  <c:v>0.51515151515151514</c:v>
                </c:pt>
              </c:numCache>
            </c:numRef>
          </c:val>
          <c:extLst>
            <c:ext xmlns:c16="http://schemas.microsoft.com/office/drawing/2014/chart" uri="{C3380CC4-5D6E-409C-BE32-E72D297353CC}">
              <c16:uniqueId val="{00000000-76EF-446E-B80E-29701D9EEB02}"/>
            </c:ext>
          </c:extLst>
        </c:ser>
        <c:dLbls>
          <c:showLegendKey val="0"/>
          <c:showVal val="0"/>
          <c:showCatName val="0"/>
          <c:showSerName val="0"/>
          <c:showPercent val="0"/>
          <c:showBubbleSize val="0"/>
        </c:dLbls>
        <c:gapWidth val="219"/>
        <c:overlap val="-27"/>
        <c:axId val="790620016"/>
        <c:axId val="790622968"/>
      </c:barChart>
      <c:catAx>
        <c:axId val="79062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0622968"/>
        <c:crosses val="autoZero"/>
        <c:auto val="1"/>
        <c:lblAlgn val="ctr"/>
        <c:lblOffset val="100"/>
        <c:noMultiLvlLbl val="0"/>
      </c:catAx>
      <c:valAx>
        <c:axId val="790622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620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Who Participates?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Data'!$C$105:$C$111</c15:sqref>
                  </c15:fullRef>
                </c:ext>
              </c:extLst>
              <c:f>'Design Data'!$C$105:$C$110</c:f>
              <c:strCache>
                <c:ptCount val="6"/>
                <c:pt idx="0">
                  <c:v>Young children</c:v>
                </c:pt>
                <c:pt idx="1">
                  <c:v>Children</c:v>
                </c:pt>
                <c:pt idx="2">
                  <c:v>Adolescents</c:v>
                </c:pt>
                <c:pt idx="3">
                  <c:v>Young adults</c:v>
                </c:pt>
                <c:pt idx="4">
                  <c:v>Middle-aged adults</c:v>
                </c:pt>
                <c:pt idx="5">
                  <c:v>Older adults</c:v>
                </c:pt>
              </c:strCache>
            </c:strRef>
          </c:cat>
          <c:val>
            <c:numRef>
              <c:extLst>
                <c:ext xmlns:c15="http://schemas.microsoft.com/office/drawing/2012/chart" uri="{02D57815-91ED-43cb-92C2-25804820EDAC}">
                  <c15:fullRef>
                    <c15:sqref>'Design Data'!$E$105:$E$111</c15:sqref>
                  </c15:fullRef>
                </c:ext>
              </c:extLst>
              <c:f>'Design Data'!$E$105:$E$110</c:f>
              <c:numCache>
                <c:formatCode>0%</c:formatCode>
                <c:ptCount val="6"/>
                <c:pt idx="0">
                  <c:v>0.36363636363636365</c:v>
                </c:pt>
                <c:pt idx="1">
                  <c:v>0.51515151515151514</c:v>
                </c:pt>
                <c:pt idx="2">
                  <c:v>0.69696969696969702</c:v>
                </c:pt>
                <c:pt idx="3">
                  <c:v>0.78787878787878785</c:v>
                </c:pt>
                <c:pt idx="4">
                  <c:v>0.72727272727272729</c:v>
                </c:pt>
                <c:pt idx="5">
                  <c:v>0.39393939393939392</c:v>
                </c:pt>
              </c:numCache>
            </c:numRef>
          </c:val>
          <c:extLst>
            <c:ext xmlns:c16="http://schemas.microsoft.com/office/drawing/2014/chart" uri="{C3380CC4-5D6E-409C-BE32-E72D297353CC}">
              <c16:uniqueId val="{00000000-7C65-4E48-A921-7FF51D0AD85D}"/>
            </c:ext>
          </c:extLst>
        </c:ser>
        <c:dLbls>
          <c:showLegendKey val="0"/>
          <c:showVal val="0"/>
          <c:showCatName val="0"/>
          <c:showSerName val="0"/>
          <c:showPercent val="0"/>
          <c:showBubbleSize val="0"/>
        </c:dLbls>
        <c:gapWidth val="182"/>
        <c:axId val="917519936"/>
        <c:axId val="917521576"/>
      </c:barChart>
      <c:catAx>
        <c:axId val="917519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17521576"/>
        <c:crosses val="autoZero"/>
        <c:auto val="1"/>
        <c:lblAlgn val="ctr"/>
        <c:lblOffset val="100"/>
        <c:noMultiLvlLbl val="0"/>
      </c:catAx>
      <c:valAx>
        <c:axId val="917521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519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Participation - Gender &amp;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Data'!$C$115:$C$119</c15:sqref>
                  </c15:fullRef>
                </c:ext>
              </c:extLst>
              <c:f>('Design Data'!$C$115:$C$116,'Design Data'!$C$119)</c:f>
              <c:strCache>
                <c:ptCount val="3"/>
                <c:pt idx="0">
                  <c:v>Code 4 - Gender &amp; Age</c:v>
                </c:pt>
                <c:pt idx="1">
                  <c:v>Code 3 -Gender Only</c:v>
                </c:pt>
                <c:pt idx="2">
                  <c:v>Code 0 - No Participation</c:v>
                </c:pt>
              </c:strCache>
            </c:strRef>
          </c:cat>
          <c:val>
            <c:numRef>
              <c:extLst>
                <c:ext xmlns:c15="http://schemas.microsoft.com/office/drawing/2012/chart" uri="{02D57815-91ED-43cb-92C2-25804820EDAC}">
                  <c15:fullRef>
                    <c15:sqref>'Design Data'!$E$115:$E$119</c15:sqref>
                  </c15:fullRef>
                </c:ext>
              </c:extLst>
              <c:f>('Design Data'!$E$115:$E$116,'Design Data'!$E$119)</c:f>
              <c:numCache>
                <c:formatCode>0%</c:formatCode>
                <c:ptCount val="3"/>
                <c:pt idx="0">
                  <c:v>0.90909090909090906</c:v>
                </c:pt>
                <c:pt idx="1">
                  <c:v>6.0606060606060608E-2</c:v>
                </c:pt>
                <c:pt idx="2">
                  <c:v>3.0303030303030304E-2</c:v>
                </c:pt>
              </c:numCache>
            </c:numRef>
          </c:val>
          <c:extLst>
            <c:ext xmlns:c16="http://schemas.microsoft.com/office/drawing/2014/chart" uri="{C3380CC4-5D6E-409C-BE32-E72D297353CC}">
              <c16:uniqueId val="{00000000-EF8C-437E-A67B-A18AE44203D0}"/>
            </c:ext>
          </c:extLst>
        </c:ser>
        <c:dLbls>
          <c:showLegendKey val="0"/>
          <c:showVal val="0"/>
          <c:showCatName val="0"/>
          <c:showSerName val="0"/>
          <c:showPercent val="0"/>
          <c:showBubbleSize val="0"/>
        </c:dLbls>
        <c:gapWidth val="182"/>
        <c:axId val="782702248"/>
        <c:axId val="782704544"/>
      </c:barChart>
      <c:catAx>
        <c:axId val="782702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82704544"/>
        <c:crosses val="autoZero"/>
        <c:auto val="1"/>
        <c:lblAlgn val="ctr"/>
        <c:lblOffset val="100"/>
        <c:noMultiLvlLbl val="0"/>
      </c:catAx>
      <c:valAx>
        <c:axId val="7827045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702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Benefit Indicators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a:noFill/>
              </a:ln>
              <a:effectLst/>
            </c:spPr>
            <c:extLst>
              <c:ext xmlns:c16="http://schemas.microsoft.com/office/drawing/2014/chart" uri="{C3380CC4-5D6E-409C-BE32-E72D297353CC}">
                <c16:uniqueId val="{00000002-EF39-4496-A486-16B9D9E9CD7B}"/>
              </c:ext>
            </c:extLst>
          </c:dPt>
          <c:dPt>
            <c:idx val="1"/>
            <c:bubble3D val="0"/>
            <c:spPr>
              <a:solidFill>
                <a:schemeClr val="accent2"/>
              </a:solidFill>
              <a:ln>
                <a:noFill/>
              </a:ln>
              <a:effectLst/>
            </c:spPr>
            <c:extLst>
              <c:ext xmlns:c16="http://schemas.microsoft.com/office/drawing/2014/chart" uri="{C3380CC4-5D6E-409C-BE32-E72D297353CC}">
                <c16:uniqueId val="{00000003-B019-47E5-A91E-64AA1EDA0ED9}"/>
              </c:ext>
            </c:extLst>
          </c:dPt>
          <c:dPt>
            <c:idx val="2"/>
            <c:bubble3D val="0"/>
            <c:spPr>
              <a:solidFill>
                <a:schemeClr val="accent3"/>
              </a:solidFill>
              <a:ln>
                <a:noFill/>
              </a:ln>
              <a:effectLst/>
            </c:spPr>
            <c:extLst>
              <c:ext xmlns:c16="http://schemas.microsoft.com/office/drawing/2014/chart" uri="{C3380CC4-5D6E-409C-BE32-E72D297353CC}">
                <c16:uniqueId val="{00000001-EF39-4496-A486-16B9D9E9CD7B}"/>
              </c:ext>
            </c:extLst>
          </c:dPt>
          <c:dPt>
            <c:idx val="3"/>
            <c:bubble3D val="0"/>
            <c:spPr>
              <a:solidFill>
                <a:schemeClr val="accent4"/>
              </a:solidFill>
              <a:ln>
                <a:noFill/>
              </a:ln>
              <a:effectLst/>
            </c:spPr>
            <c:extLst>
              <c:ext xmlns:c16="http://schemas.microsoft.com/office/drawing/2014/chart" uri="{C3380CC4-5D6E-409C-BE32-E72D297353CC}">
                <c16:uniqueId val="{00000004-EF39-4496-A486-16B9D9E9CD7B}"/>
              </c:ext>
            </c:extLst>
          </c:dPt>
          <c:dPt>
            <c:idx val="4"/>
            <c:bubble3D val="0"/>
            <c:spPr>
              <a:solidFill>
                <a:schemeClr val="accent5"/>
              </a:solidFill>
              <a:ln>
                <a:noFill/>
              </a:ln>
              <a:effectLst/>
            </c:spPr>
            <c:extLst>
              <c:ext xmlns:c16="http://schemas.microsoft.com/office/drawing/2014/chart" uri="{C3380CC4-5D6E-409C-BE32-E72D297353CC}">
                <c16:uniqueId val="{00000009-F1B2-4E3D-A50F-32C7D2275A28}"/>
              </c:ext>
            </c:extLst>
          </c:dPt>
          <c:dLbls>
            <c:dLbl>
              <c:idx val="0"/>
              <c:layout>
                <c:manualLayout>
                  <c:x val="-0.15476658920541594"/>
                  <c:y val="0.13054357164678404"/>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39-4496-A486-16B9D9E9CD7B}"/>
                </c:ext>
              </c:extLst>
            </c:dLbl>
            <c:dLbl>
              <c:idx val="1"/>
              <c:layout>
                <c:manualLayout>
                  <c:x val="-0.17262496369844504"/>
                  <c:y val="-0.1389767245047032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19-47E5-A91E-64AA1EDA0ED9}"/>
                </c:ext>
              </c:extLst>
            </c:dLbl>
            <c:dLbl>
              <c:idx val="2"/>
              <c:layout>
                <c:manualLayout>
                  <c:x val="0.1963978958171462"/>
                  <c:y val="-0.2349273808633226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39-4496-A486-16B9D9E9CD7B}"/>
                </c:ext>
              </c:extLst>
            </c:dLbl>
            <c:dLbl>
              <c:idx val="3"/>
              <c:delete val="1"/>
              <c:extLst>
                <c:ext xmlns:c15="http://schemas.microsoft.com/office/drawing/2012/chart" uri="{CE6537A1-D6FC-4f65-9D91-7224C49458BB}"/>
                <c:ext xmlns:c16="http://schemas.microsoft.com/office/drawing/2014/chart" uri="{C3380CC4-5D6E-409C-BE32-E72D297353CC}">
                  <c16:uniqueId val="{00000004-EF39-4496-A486-16B9D9E9CD7B}"/>
                </c:ext>
              </c:extLst>
            </c:dLbl>
            <c:dLbl>
              <c:idx val="4"/>
              <c:layout>
                <c:manualLayout>
                  <c:x val="-0.12717848335411627"/>
                  <c:y val="3.070416389702981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1B2-4E3D-A50F-32C7D2275A28}"/>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'Design Data'!$C$123:$C$128</c15:sqref>
                  </c15:fullRef>
                </c:ext>
              </c:extLst>
              <c:f>('Design Data'!$C$123:$C$125,'Design Data'!$C$127:$C$128)</c:f>
              <c:strCache>
                <c:ptCount val="5"/>
                <c:pt idx="0">
                  <c:v>Indicators measure needs met</c:v>
                </c:pt>
                <c:pt idx="1">
                  <c:v>Indicators measure activities delivered</c:v>
                </c:pt>
                <c:pt idx="2">
                  <c:v>Indicators measure BOTH needs met &amp; activities delivered</c:v>
                </c:pt>
                <c:pt idx="3">
                  <c:v>Indicators unrelated to benefits</c:v>
                </c:pt>
                <c:pt idx="4">
                  <c:v>No indicators</c:v>
                </c:pt>
              </c:strCache>
            </c:strRef>
          </c:cat>
          <c:val>
            <c:numRef>
              <c:extLst>
                <c:ext xmlns:c15="http://schemas.microsoft.com/office/drawing/2012/chart" uri="{02D57815-91ED-43cb-92C2-25804820EDAC}">
                  <c15:fullRef>
                    <c15:sqref>'Design Data'!$E$123:$E$128</c15:sqref>
                  </c15:fullRef>
                </c:ext>
              </c:extLst>
              <c:f>('Design Data'!$E$123:$E$125,'Design Data'!$E$127:$E$128)</c:f>
              <c:numCache>
                <c:formatCode>0%</c:formatCode>
                <c:ptCount val="5"/>
                <c:pt idx="0">
                  <c:v>0.21212121212121213</c:v>
                </c:pt>
                <c:pt idx="1">
                  <c:v>0.21212121212121213</c:v>
                </c:pt>
                <c:pt idx="2">
                  <c:v>0.54545454545454541</c:v>
                </c:pt>
                <c:pt idx="3">
                  <c:v>0</c:v>
                </c:pt>
                <c:pt idx="4">
                  <c:v>3.0303030303030304E-2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EF39-4496-A486-16B9D9E9CD7B}"/>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Benefit Indicator</a:t>
            </a:r>
            <a:r>
              <a:rPr lang="en-US" sz="1800" baseline="0"/>
              <a:t> disaggregation - Gender</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Data'!$C$132:$C$139</c15:sqref>
                  </c15:fullRef>
                </c:ext>
              </c:extLst>
              <c:f>('Design Data'!$C$132:$C$136,'Design Data'!$C$139)</c:f>
              <c:strCache>
                <c:ptCount val="6"/>
                <c:pt idx="0">
                  <c:v>Women</c:v>
                </c:pt>
                <c:pt idx="1">
                  <c:v>Girls</c:v>
                </c:pt>
                <c:pt idx="2">
                  <c:v>Boys</c:v>
                </c:pt>
                <c:pt idx="3">
                  <c:v>Men</c:v>
                </c:pt>
                <c:pt idx="4">
                  <c:v>Diverse gender</c:v>
                </c:pt>
                <c:pt idx="5">
                  <c:v>Gender not specified</c:v>
                </c:pt>
              </c:strCache>
            </c:strRef>
          </c:cat>
          <c:val>
            <c:numRef>
              <c:extLst>
                <c:ext xmlns:c15="http://schemas.microsoft.com/office/drawing/2012/chart" uri="{02D57815-91ED-43cb-92C2-25804820EDAC}">
                  <c15:fullRef>
                    <c15:sqref>'Design Data'!$E$132:$E$139</c15:sqref>
                  </c15:fullRef>
                </c:ext>
              </c:extLst>
              <c:f>('Design Data'!$E$132:$E$136,'Design Data'!$E$139)</c:f>
              <c:numCache>
                <c:formatCode>0%</c:formatCode>
                <c:ptCount val="6"/>
                <c:pt idx="0">
                  <c:v>0.90909090909090906</c:v>
                </c:pt>
                <c:pt idx="1">
                  <c:v>0.69696969696969702</c:v>
                </c:pt>
                <c:pt idx="2">
                  <c:v>0.60606060606060608</c:v>
                </c:pt>
                <c:pt idx="3">
                  <c:v>0.75757575757575757</c:v>
                </c:pt>
                <c:pt idx="4">
                  <c:v>0.48484848484848486</c:v>
                </c:pt>
                <c:pt idx="5">
                  <c:v>3.0303030303030304E-2</c:v>
                </c:pt>
              </c:numCache>
            </c:numRef>
          </c:val>
          <c:extLst>
            <c:ext xmlns:c16="http://schemas.microsoft.com/office/drawing/2014/chart" uri="{C3380CC4-5D6E-409C-BE32-E72D297353CC}">
              <c16:uniqueId val="{00000000-F885-47C3-908E-62651FFD587C}"/>
            </c:ext>
          </c:extLst>
        </c:ser>
        <c:dLbls>
          <c:showLegendKey val="0"/>
          <c:showVal val="0"/>
          <c:showCatName val="0"/>
          <c:showSerName val="0"/>
          <c:showPercent val="0"/>
          <c:showBubbleSize val="0"/>
        </c:dLbls>
        <c:gapWidth val="182"/>
        <c:axId val="967604768"/>
        <c:axId val="967602472"/>
      </c:barChart>
      <c:catAx>
        <c:axId val="967604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67602472"/>
        <c:crosses val="autoZero"/>
        <c:auto val="1"/>
        <c:lblAlgn val="ctr"/>
        <c:lblOffset val="100"/>
        <c:noMultiLvlLbl val="0"/>
      </c:catAx>
      <c:valAx>
        <c:axId val="967602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7604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Benefit Indicator Disaggregation -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Data'!$C$143:$C$151</c15:sqref>
                  </c15:fullRef>
                </c:ext>
              </c:extLst>
              <c:f>('Design Data'!$C$143:$C$148,'Design Data'!$C$151)</c:f>
              <c:strCache>
                <c:ptCount val="7"/>
                <c:pt idx="0">
                  <c:v>Young children</c:v>
                </c:pt>
                <c:pt idx="1">
                  <c:v>Children</c:v>
                </c:pt>
                <c:pt idx="2">
                  <c:v>Adolescents</c:v>
                </c:pt>
                <c:pt idx="3">
                  <c:v>Young adults</c:v>
                </c:pt>
                <c:pt idx="4">
                  <c:v>Middle-aged adults</c:v>
                </c:pt>
                <c:pt idx="5">
                  <c:v>Older adults</c:v>
                </c:pt>
                <c:pt idx="6">
                  <c:v>Age not specified</c:v>
                </c:pt>
              </c:strCache>
            </c:strRef>
          </c:cat>
          <c:val>
            <c:numRef>
              <c:extLst>
                <c:ext xmlns:c15="http://schemas.microsoft.com/office/drawing/2012/chart" uri="{02D57815-91ED-43cb-92C2-25804820EDAC}">
                  <c15:fullRef>
                    <c15:sqref>'Design Data'!$E$143:$E$151</c15:sqref>
                  </c15:fullRef>
                </c:ext>
              </c:extLst>
              <c:f>('Design Data'!$E$143:$E$148,'Design Data'!$E$151)</c:f>
              <c:numCache>
                <c:formatCode>0%</c:formatCode>
                <c:ptCount val="7"/>
                <c:pt idx="0">
                  <c:v>0.42424242424242425</c:v>
                </c:pt>
                <c:pt idx="1">
                  <c:v>0.5757575757575758</c:v>
                </c:pt>
                <c:pt idx="2">
                  <c:v>0.69696969696969702</c:v>
                </c:pt>
                <c:pt idx="3">
                  <c:v>0.5757575757575758</c:v>
                </c:pt>
                <c:pt idx="4">
                  <c:v>0.60606060606060608</c:v>
                </c:pt>
                <c:pt idx="5">
                  <c:v>0.51515151515151514</c:v>
                </c:pt>
                <c:pt idx="6">
                  <c:v>3.0303030303030304E-2</c:v>
                </c:pt>
              </c:numCache>
            </c:numRef>
          </c:val>
          <c:extLst>
            <c:ext xmlns:c16="http://schemas.microsoft.com/office/drawing/2014/chart" uri="{C3380CC4-5D6E-409C-BE32-E72D297353CC}">
              <c16:uniqueId val="{00000000-03DD-4D61-9457-4DBCA2646A1A}"/>
            </c:ext>
          </c:extLst>
        </c:ser>
        <c:dLbls>
          <c:showLegendKey val="0"/>
          <c:showVal val="0"/>
          <c:showCatName val="0"/>
          <c:showSerName val="0"/>
          <c:showPercent val="0"/>
          <c:showBubbleSize val="0"/>
        </c:dLbls>
        <c:gapWidth val="182"/>
        <c:axId val="782716680"/>
        <c:axId val="782717008"/>
      </c:barChart>
      <c:catAx>
        <c:axId val="782716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82717008"/>
        <c:crosses val="autoZero"/>
        <c:auto val="1"/>
        <c:lblAlgn val="ctr"/>
        <c:lblOffset val="100"/>
        <c:noMultiLvlLbl val="0"/>
      </c:catAx>
      <c:valAx>
        <c:axId val="7827170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716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Benefit Indicators - Gender &amp;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f>'Design Data'!$C$155:$C$159</c:f>
              <c:strCache>
                <c:ptCount val="5"/>
                <c:pt idx="0">
                  <c:v>Code 4 - Gender &amp; Age</c:v>
                </c:pt>
                <c:pt idx="1">
                  <c:v>Code 3 -Gender Only</c:v>
                </c:pt>
                <c:pt idx="2">
                  <c:v>Code 2 - Age Only</c:v>
                </c:pt>
                <c:pt idx="3">
                  <c:v>Code 1 - No gender or age </c:v>
                </c:pt>
                <c:pt idx="4">
                  <c:v>Code 0 - No Benefit Indicators</c:v>
                </c:pt>
              </c:strCache>
            </c:strRef>
          </c:cat>
          <c:val>
            <c:numRef>
              <c:f>'Design Data'!$E$155:$E$159</c:f>
              <c:numCache>
                <c:formatCode>0%</c:formatCode>
                <c:ptCount val="5"/>
                <c:pt idx="0">
                  <c:v>0.87878787878787878</c:v>
                </c:pt>
                <c:pt idx="1">
                  <c:v>3.0303030303030304E-2</c:v>
                </c:pt>
                <c:pt idx="2">
                  <c:v>3.0303030303030304E-2</c:v>
                </c:pt>
                <c:pt idx="3">
                  <c:v>3.0303030303030304E-2</c:v>
                </c:pt>
                <c:pt idx="4">
                  <c:v>3.0303030303030304E-2</c:v>
                </c:pt>
              </c:numCache>
            </c:numRef>
          </c:val>
          <c:extLst>
            <c:ext xmlns:c16="http://schemas.microsoft.com/office/drawing/2014/chart" uri="{C3380CC4-5D6E-409C-BE32-E72D297353CC}">
              <c16:uniqueId val="{00000000-F9FB-4248-BF77-D6B587C78A95}"/>
            </c:ext>
          </c:extLst>
        </c:ser>
        <c:dLbls>
          <c:showLegendKey val="0"/>
          <c:showVal val="0"/>
          <c:showCatName val="0"/>
          <c:showSerName val="0"/>
          <c:showPercent val="0"/>
          <c:showBubbleSize val="0"/>
        </c:dLbls>
        <c:gapWidth val="182"/>
        <c:axId val="967700528"/>
        <c:axId val="967693312"/>
      </c:barChart>
      <c:catAx>
        <c:axId val="9677005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67693312"/>
        <c:crosses val="autoZero"/>
        <c:auto val="1"/>
        <c:lblAlgn val="ctr"/>
        <c:lblOffset val="100"/>
        <c:noMultiLvlLbl val="0"/>
      </c:catAx>
      <c:valAx>
        <c:axId val="967693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7700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Gender &amp; Age in Key Project Elements (Codes)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'Coding Data'!$A$2</c:f>
              <c:strCache>
                <c:ptCount val="1"/>
                <c:pt idx="0">
                  <c:v>Code 4 - Gender &amp; Age Addressed</c:v>
                </c:pt>
              </c:strCache>
            </c:strRef>
          </c:tx>
          <c:spPr>
            <a:solidFill>
              <a:schemeClr val="accent1"/>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Data'!$B$2:$J$2</c:f>
              <c:numCache>
                <c:formatCode>0%</c:formatCode>
                <c:ptCount val="4"/>
                <c:pt idx="0">
                  <c:v>0.69696969696969702</c:v>
                </c:pt>
                <c:pt idx="1">
                  <c:v>0.75757575757575757</c:v>
                </c:pt>
                <c:pt idx="2">
                  <c:v>0.90909090909090906</c:v>
                </c:pt>
                <c:pt idx="3">
                  <c:v>0.87878787878787878</c:v>
                </c:pt>
              </c:numCache>
            </c:numRef>
          </c:val>
          <c:extLst>
            <c:ext xmlns:c16="http://schemas.microsoft.com/office/drawing/2014/chart" uri="{C3380CC4-5D6E-409C-BE32-E72D297353CC}">
              <c16:uniqueId val="{00000000-3535-44BD-A47B-84EE75123D51}"/>
            </c:ext>
          </c:extLst>
        </c:ser>
        <c:ser>
          <c:idx val="1"/>
          <c:order val="1"/>
          <c:tx>
            <c:strRef>
              <c:f>'Coding Data'!$A$3</c:f>
              <c:strCache>
                <c:ptCount val="1"/>
                <c:pt idx="0">
                  <c:v>Code 3 - Gender (only) Addressed</c:v>
                </c:pt>
              </c:strCache>
            </c:strRef>
          </c:tx>
          <c:spPr>
            <a:solidFill>
              <a:schemeClr val="accent2"/>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Data'!$B$3:$J$3</c:f>
              <c:numCache>
                <c:formatCode>0%</c:formatCode>
                <c:ptCount val="4"/>
                <c:pt idx="0">
                  <c:v>9.0909090909090912E-2</c:v>
                </c:pt>
                <c:pt idx="1">
                  <c:v>3.0303030303030304E-2</c:v>
                </c:pt>
                <c:pt idx="2">
                  <c:v>6.0606060606060608E-2</c:v>
                </c:pt>
                <c:pt idx="3">
                  <c:v>3.0303030303030304E-2</c:v>
                </c:pt>
              </c:numCache>
            </c:numRef>
          </c:val>
          <c:extLst>
            <c:ext xmlns:c16="http://schemas.microsoft.com/office/drawing/2014/chart" uri="{C3380CC4-5D6E-409C-BE32-E72D297353CC}">
              <c16:uniqueId val="{00000001-3535-44BD-A47B-84EE75123D51}"/>
            </c:ext>
          </c:extLst>
        </c:ser>
        <c:ser>
          <c:idx val="2"/>
          <c:order val="2"/>
          <c:tx>
            <c:strRef>
              <c:f>'Coding Data'!$A$4</c:f>
              <c:strCache>
                <c:ptCount val="1"/>
                <c:pt idx="0">
                  <c:v>Code 2 - Age (only) Addressed</c:v>
                </c:pt>
              </c:strCache>
            </c:strRef>
          </c:tx>
          <c:spPr>
            <a:solidFill>
              <a:schemeClr val="accent3"/>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Data'!$B$4:$J$4</c:f>
              <c:numCache>
                <c:formatCode>0%</c:formatCode>
                <c:ptCount val="4"/>
                <c:pt idx="0">
                  <c:v>3.0303030303030304E-2</c:v>
                </c:pt>
                <c:pt idx="1">
                  <c:v>6.0606060606060608E-2</c:v>
                </c:pt>
                <c:pt idx="2">
                  <c:v>0</c:v>
                </c:pt>
                <c:pt idx="3">
                  <c:v>3.0303030303030304E-2</c:v>
                </c:pt>
              </c:numCache>
            </c:numRef>
          </c:val>
          <c:extLst>
            <c:ext xmlns:c16="http://schemas.microsoft.com/office/drawing/2014/chart" uri="{C3380CC4-5D6E-409C-BE32-E72D297353CC}">
              <c16:uniqueId val="{00000002-3535-44BD-A47B-84EE75123D51}"/>
            </c:ext>
          </c:extLst>
        </c:ser>
        <c:ser>
          <c:idx val="3"/>
          <c:order val="3"/>
          <c:tx>
            <c:strRef>
              <c:f>'Coding Data'!$A$5</c:f>
              <c:strCache>
                <c:ptCount val="1"/>
                <c:pt idx="0">
                  <c:v>Code 1 - Neither gender/age</c:v>
                </c:pt>
              </c:strCache>
            </c:strRef>
          </c:tx>
          <c:spPr>
            <a:solidFill>
              <a:schemeClr val="accent4"/>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Data'!$B$5:$J$5</c:f>
              <c:numCache>
                <c:formatCode>0%</c:formatCode>
                <c:ptCount val="4"/>
                <c:pt idx="0">
                  <c:v>0</c:v>
                </c:pt>
                <c:pt idx="1">
                  <c:v>3.0303030303030304E-2</c:v>
                </c:pt>
                <c:pt idx="2">
                  <c:v>0</c:v>
                </c:pt>
                <c:pt idx="3">
                  <c:v>3.0303030303030304E-2</c:v>
                </c:pt>
              </c:numCache>
            </c:numRef>
          </c:val>
          <c:extLst>
            <c:ext xmlns:c16="http://schemas.microsoft.com/office/drawing/2014/chart" uri="{C3380CC4-5D6E-409C-BE32-E72D297353CC}">
              <c16:uniqueId val="{00000003-3535-44BD-A47B-84EE75123D51}"/>
            </c:ext>
          </c:extLst>
        </c:ser>
        <c:ser>
          <c:idx val="4"/>
          <c:order val="4"/>
          <c:tx>
            <c:strRef>
              <c:f>'Coding Data'!$A$6</c:f>
              <c:strCache>
                <c:ptCount val="1"/>
                <c:pt idx="0">
                  <c:v>0 - Element not present</c:v>
                </c:pt>
              </c:strCache>
            </c:strRef>
          </c:tx>
          <c:spPr>
            <a:solidFill>
              <a:schemeClr val="accent5"/>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Data'!$B$6:$J$6</c:f>
              <c:numCache>
                <c:formatCode>0%</c:formatCode>
                <c:ptCount val="4"/>
                <c:pt idx="0">
                  <c:v>0.18181818181818182</c:v>
                </c:pt>
                <c:pt idx="1">
                  <c:v>0.12121212121212122</c:v>
                </c:pt>
                <c:pt idx="2">
                  <c:v>3.0303030303030304E-2</c:v>
                </c:pt>
                <c:pt idx="3">
                  <c:v>3.0303030303030304E-2</c:v>
                </c:pt>
              </c:numCache>
            </c:numRef>
          </c:val>
          <c:extLst>
            <c:ext xmlns:c16="http://schemas.microsoft.com/office/drawing/2014/chart" uri="{C3380CC4-5D6E-409C-BE32-E72D297353CC}">
              <c16:uniqueId val="{00000004-3535-44BD-A47B-84EE75123D51}"/>
            </c:ext>
          </c:extLst>
        </c:ser>
        <c:dLbls>
          <c:showLegendKey val="0"/>
          <c:showVal val="0"/>
          <c:showCatName val="0"/>
          <c:showSerName val="0"/>
          <c:showPercent val="0"/>
          <c:showBubbleSize val="0"/>
        </c:dLbls>
        <c:gapWidth val="219"/>
        <c:overlap val="-27"/>
        <c:axId val="788372080"/>
        <c:axId val="788371752"/>
      </c:barChart>
      <c:catAx>
        <c:axId val="788372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88371752"/>
        <c:crosses val="autoZero"/>
        <c:auto val="1"/>
        <c:lblAlgn val="ctr"/>
        <c:lblOffset val="100"/>
        <c:noMultiLvlLbl val="0"/>
      </c:catAx>
      <c:valAx>
        <c:axId val="788371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a:t>
                </a:r>
                <a:r>
                  <a:rPr lang="en-US" sz="1200" baseline="0"/>
                  <a:t> of Proposals</a:t>
                </a:r>
                <a:endParaRPr 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372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en-US"/>
              <a:t>Project Focus (33)</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A-60C8-4B1E-8AFA-528F8C03F6B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60C8-4B1E-8AFA-528F8C03F6B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9-60C8-4B1E-8AFA-528F8C03F6BA}"/>
              </c:ext>
            </c:extLst>
          </c:dPt>
          <c:dLbls>
            <c:dLbl>
              <c:idx val="0"/>
              <c:layout>
                <c:manualLayout>
                  <c:x val="-0.1660411198393327"/>
                  <c:y val="-0.36553733334692684"/>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0C8-4B1E-8AFA-528F8C03F6BA}"/>
                </c:ext>
              </c:extLst>
            </c:dLbl>
            <c:dLbl>
              <c:idx val="1"/>
              <c:layout>
                <c:manualLayout>
                  <c:x val="-0.19082642249617202"/>
                  <c:y val="3.3935661611755021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3732331369411824"/>
                      <c:h val="0.16940723320133402"/>
                    </c:manualLayout>
                  </c15:layout>
                </c:ext>
                <c:ext xmlns:c16="http://schemas.microsoft.com/office/drawing/2014/chart" uri="{C3380CC4-5D6E-409C-BE32-E72D297353CC}">
                  <c16:uniqueId val="{00000008-60C8-4B1E-8AFA-528F8C03F6BA}"/>
                </c:ext>
              </c:extLst>
            </c:dLbl>
            <c:dLbl>
              <c:idx val="2"/>
              <c:delete val="1"/>
              <c:extLst>
                <c:ext xmlns:c15="http://schemas.microsoft.com/office/drawing/2012/chart" uri="{CE6537A1-D6FC-4f65-9D91-7224C49458BB}"/>
                <c:ext xmlns:c16="http://schemas.microsoft.com/office/drawing/2014/chart" uri="{C3380CC4-5D6E-409C-BE32-E72D297353CC}">
                  <c16:uniqueId val="{00000009-60C8-4B1E-8AFA-528F8C03F6BA}"/>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'Design Data'!$C$171:$C$173</c:f>
              <c:strCache>
                <c:ptCount val="3"/>
                <c:pt idx="0">
                  <c:v>Gender mainstreamed</c:v>
                </c:pt>
                <c:pt idx="1">
                  <c:v>Targeted (project purpose is to increase equality)</c:v>
                </c:pt>
                <c:pt idx="2">
                  <c:v>Gender Not Applicable</c:v>
                </c:pt>
              </c:strCache>
            </c:strRef>
          </c:cat>
          <c:val>
            <c:numRef>
              <c:f>'Design Data'!$E$171:$E$173</c:f>
              <c:numCache>
                <c:formatCode>0%</c:formatCode>
                <c:ptCount val="3"/>
                <c:pt idx="0">
                  <c:v>0.96969696969696972</c:v>
                </c:pt>
                <c:pt idx="1">
                  <c:v>3.0303030303030304E-2</c:v>
                </c:pt>
                <c:pt idx="2">
                  <c:v>0</c:v>
                </c:pt>
              </c:numCache>
            </c:numRef>
          </c:val>
          <c:extLst>
            <c:ext xmlns:c16="http://schemas.microsoft.com/office/drawing/2014/chart" uri="{C3380CC4-5D6E-409C-BE32-E72D297353CC}">
              <c16:uniqueId val="{00000007-60C8-4B1E-8AFA-528F8C03F6BA}"/>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What</a:t>
            </a:r>
            <a:r>
              <a:rPr lang="en-US" sz="1800" baseline="0"/>
              <a:t> does the analysis consider? </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8-7E98-4E3C-A466-B2C0B94BFD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7E98-4E3C-A466-B2C0B94BFD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7E98-4E3C-A466-B2C0B94BFDF5}"/>
              </c:ext>
            </c:extLst>
          </c:dPt>
          <c:dLbls>
            <c:dLbl>
              <c:idx val="0"/>
              <c:layout>
                <c:manualLayout>
                  <c:x val="-0.2255915014925737"/>
                  <c:y val="-4.6681494453750718E-3"/>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98-4E3C-A466-B2C0B94BFDF5}"/>
                </c:ext>
              </c:extLst>
            </c:dLbl>
            <c:dLbl>
              <c:idx val="1"/>
              <c:layout>
                <c:manualLayout>
                  <c:x val="0.17168529276726688"/>
                  <c:y val="-0.18701582161572355"/>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98-4E3C-A466-B2C0B94BFDF5}"/>
                </c:ext>
              </c:extLst>
            </c:dLbl>
            <c:dLbl>
              <c:idx val="2"/>
              <c:layout>
                <c:manualLayout>
                  <c:x val="0.13725834516126492"/>
                  <c:y val="0.16034978000542449"/>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948731229459765"/>
                      <c:h val="8.8105737044879728E-2"/>
                    </c:manualLayout>
                  </c15:layout>
                </c:ext>
                <c:ext xmlns:c16="http://schemas.microsoft.com/office/drawing/2014/chart" uri="{C3380CC4-5D6E-409C-BE32-E72D297353CC}">
                  <c16:uniqueId val="{0000000C-7E98-4E3C-A466-B2C0B94BFDF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'Design Data'!$C$24:$C$26</c:f>
              <c:strCache>
                <c:ptCount val="3"/>
                <c:pt idx="0">
                  <c:v>Needs, roles and dynamics</c:v>
                </c:pt>
                <c:pt idx="1">
                  <c:v>Needs</c:v>
                </c:pt>
                <c:pt idx="2">
                  <c:v>No needs analysis yet</c:v>
                </c:pt>
              </c:strCache>
            </c:strRef>
          </c:cat>
          <c:val>
            <c:numRef>
              <c:f>'Design Data'!$E$24:$E$26</c:f>
              <c:numCache>
                <c:formatCode>0%</c:formatCode>
                <c:ptCount val="3"/>
                <c:pt idx="0">
                  <c:v>0.42424242424242425</c:v>
                </c:pt>
                <c:pt idx="1">
                  <c:v>0.39393939393939392</c:v>
                </c:pt>
                <c:pt idx="2">
                  <c:v>0.18181818181818182</c:v>
                </c:pt>
              </c:numCache>
            </c:numRef>
          </c:val>
          <c:extLst>
            <c:ext xmlns:c16="http://schemas.microsoft.com/office/drawing/2014/chart" uri="{C3380CC4-5D6E-409C-BE32-E72D297353CC}">
              <c16:uniqueId val="{0000000D-7E98-4E3C-A466-B2C0B94BFDF5}"/>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Groups</a:t>
            </a:r>
            <a:r>
              <a:rPr lang="en-US" sz="1800" baseline="0"/>
              <a:t> discussed in the Analysis - Gender</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solidFill>
              <a:schemeClr val="accent2"/>
            </a:solidFill>
            <a:ln>
              <a:noFill/>
            </a:ln>
            <a:effectLst/>
          </c:spPr>
          <c:invertIfNegative val="0"/>
          <c:cat>
            <c:strRef>
              <c:f>'Design Data'!$C$29:$C$33</c:f>
              <c:strCache>
                <c:ptCount val="5"/>
                <c:pt idx="0">
                  <c:v>Women</c:v>
                </c:pt>
                <c:pt idx="1">
                  <c:v>Girls</c:v>
                </c:pt>
                <c:pt idx="2">
                  <c:v>Boys</c:v>
                </c:pt>
                <c:pt idx="3">
                  <c:v>Men</c:v>
                </c:pt>
                <c:pt idx="4">
                  <c:v>Diverse gender</c:v>
                </c:pt>
              </c:strCache>
            </c:strRef>
          </c:cat>
          <c:val>
            <c:numRef>
              <c:f>'Design Data'!$E$29:$E$33</c:f>
              <c:numCache>
                <c:formatCode>0%</c:formatCode>
                <c:ptCount val="5"/>
                <c:pt idx="0">
                  <c:v>0.78787878787878785</c:v>
                </c:pt>
                <c:pt idx="1">
                  <c:v>0.72727272727272729</c:v>
                </c:pt>
                <c:pt idx="2">
                  <c:v>0.54545454545454541</c:v>
                </c:pt>
                <c:pt idx="3">
                  <c:v>0.5757575757575758</c:v>
                </c:pt>
                <c:pt idx="4">
                  <c:v>0.39393939393939392</c:v>
                </c:pt>
              </c:numCache>
            </c:numRef>
          </c:val>
          <c:extLst>
            <c:ext xmlns:c16="http://schemas.microsoft.com/office/drawing/2014/chart" uri="{C3380CC4-5D6E-409C-BE32-E72D297353CC}">
              <c16:uniqueId val="{00000000-E8B8-4837-BB77-70B5B1CA2854}"/>
            </c:ext>
          </c:extLst>
        </c:ser>
        <c:dLbls>
          <c:showLegendKey val="0"/>
          <c:showVal val="0"/>
          <c:showCatName val="0"/>
          <c:showSerName val="0"/>
          <c:showPercent val="0"/>
          <c:showBubbleSize val="0"/>
        </c:dLbls>
        <c:gapWidth val="219"/>
        <c:overlap val="-27"/>
        <c:axId val="919440936"/>
        <c:axId val="919443560"/>
      </c:barChart>
      <c:catAx>
        <c:axId val="919440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19443560"/>
        <c:crosses val="autoZero"/>
        <c:auto val="1"/>
        <c:lblAlgn val="ctr"/>
        <c:lblOffset val="100"/>
        <c:noMultiLvlLbl val="0"/>
      </c:catAx>
      <c:valAx>
        <c:axId val="919443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a:p>
                <a:pPr>
                  <a:defRPr sz="1400"/>
                </a:pPr>
                <a:endParaRPr lang="en-US" sz="140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440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Groups discussed in the Analysis -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Data'!$C$37:$C$43</c15:sqref>
                  </c15:fullRef>
                </c:ext>
              </c:extLst>
              <c:f>'Design Data'!$C$37:$C$42</c:f>
              <c:strCache>
                <c:ptCount val="6"/>
                <c:pt idx="0">
                  <c:v>Young children</c:v>
                </c:pt>
                <c:pt idx="1">
                  <c:v>Children</c:v>
                </c:pt>
                <c:pt idx="2">
                  <c:v>Adolescents</c:v>
                </c:pt>
                <c:pt idx="3">
                  <c:v>Young adults</c:v>
                </c:pt>
                <c:pt idx="4">
                  <c:v>Middle-aged adults</c:v>
                </c:pt>
                <c:pt idx="5">
                  <c:v>Older adults</c:v>
                </c:pt>
              </c:strCache>
            </c:strRef>
          </c:cat>
          <c:val>
            <c:numRef>
              <c:extLst>
                <c:ext xmlns:c15="http://schemas.microsoft.com/office/drawing/2012/chart" uri="{02D57815-91ED-43cb-92C2-25804820EDAC}">
                  <c15:fullRef>
                    <c15:sqref>'Design Data'!$E$37:$E$43</c15:sqref>
                  </c15:fullRef>
                </c:ext>
              </c:extLst>
              <c:f>'Design Data'!$E$37:$E$42</c:f>
              <c:numCache>
                <c:formatCode>0%</c:formatCode>
                <c:ptCount val="6"/>
                <c:pt idx="0">
                  <c:v>0.39393939393939392</c:v>
                </c:pt>
                <c:pt idx="1">
                  <c:v>0.51515151515151514</c:v>
                </c:pt>
                <c:pt idx="2">
                  <c:v>0.5757575757575758</c:v>
                </c:pt>
                <c:pt idx="3">
                  <c:v>0.63636363636363635</c:v>
                </c:pt>
                <c:pt idx="4">
                  <c:v>0.54545454545454541</c:v>
                </c:pt>
                <c:pt idx="5">
                  <c:v>0.45454545454545453</c:v>
                </c:pt>
              </c:numCache>
            </c:numRef>
          </c:val>
          <c:extLst>
            <c:ext xmlns:c16="http://schemas.microsoft.com/office/drawing/2014/chart" uri="{C3380CC4-5D6E-409C-BE32-E72D297353CC}">
              <c16:uniqueId val="{00000000-46C4-4EDB-9860-C7F0C9D36534}"/>
            </c:ext>
          </c:extLst>
        </c:ser>
        <c:dLbls>
          <c:showLegendKey val="0"/>
          <c:showVal val="0"/>
          <c:showCatName val="0"/>
          <c:showSerName val="0"/>
          <c:showPercent val="0"/>
          <c:showBubbleSize val="0"/>
        </c:dLbls>
        <c:gapWidth val="182"/>
        <c:axId val="790625264"/>
        <c:axId val="790619032"/>
      </c:barChart>
      <c:catAx>
        <c:axId val="790625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0619032"/>
        <c:crosses val="autoZero"/>
        <c:auto val="1"/>
        <c:lblAlgn val="ctr"/>
        <c:lblOffset val="100"/>
        <c:noMultiLvlLbl val="0"/>
      </c:catAx>
      <c:valAx>
        <c:axId val="7906190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a:t>
                </a:r>
                <a:r>
                  <a:rPr lang="en-US" sz="1400" baseline="0"/>
                  <a:t> Proposals</a:t>
                </a:r>
                <a:endParaRPr lang="en-US" sz="1400"/>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625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Analysis Content - Gender &amp;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Data'!$C$47:$C$51</c15:sqref>
                  </c15:fullRef>
                </c:ext>
              </c:extLst>
              <c:f>('Design Data'!$C$47:$C$49,'Design Data'!$C$51)</c:f>
              <c:strCache>
                <c:ptCount val="4"/>
                <c:pt idx="0">
                  <c:v>Code 4 - Gender &amp; Age</c:v>
                </c:pt>
                <c:pt idx="1">
                  <c:v>Code 3 -Gender Only</c:v>
                </c:pt>
                <c:pt idx="2">
                  <c:v>Code 2 - Age Only</c:v>
                </c:pt>
                <c:pt idx="3">
                  <c:v>Code 0 - No Analysis</c:v>
                </c:pt>
              </c:strCache>
            </c:strRef>
          </c:cat>
          <c:val>
            <c:numRef>
              <c:extLst>
                <c:ext xmlns:c15="http://schemas.microsoft.com/office/drawing/2012/chart" uri="{02D57815-91ED-43cb-92C2-25804820EDAC}">
                  <c15:fullRef>
                    <c15:sqref>'Design Data'!$E$47:$E$51</c15:sqref>
                  </c15:fullRef>
                </c:ext>
              </c:extLst>
              <c:f>('Design Data'!$E$47:$E$49,'Design Data'!$E$51)</c:f>
              <c:numCache>
                <c:formatCode>0%</c:formatCode>
                <c:ptCount val="4"/>
                <c:pt idx="0">
                  <c:v>0.69696969696969702</c:v>
                </c:pt>
                <c:pt idx="1">
                  <c:v>9.0909090909090912E-2</c:v>
                </c:pt>
                <c:pt idx="2">
                  <c:v>3.0303030303030304E-2</c:v>
                </c:pt>
                <c:pt idx="3">
                  <c:v>0.18181818181818182</c:v>
                </c:pt>
              </c:numCache>
            </c:numRef>
          </c:val>
          <c:extLst>
            <c:ext xmlns:c16="http://schemas.microsoft.com/office/drawing/2014/chart" uri="{C3380CC4-5D6E-409C-BE32-E72D297353CC}">
              <c16:uniqueId val="{00000000-B989-496E-8C76-011A31B6CDBD}"/>
            </c:ext>
          </c:extLst>
        </c:ser>
        <c:dLbls>
          <c:showLegendKey val="0"/>
          <c:showVal val="0"/>
          <c:showCatName val="0"/>
          <c:showSerName val="0"/>
          <c:showPercent val="0"/>
          <c:showBubbleSize val="0"/>
        </c:dLbls>
        <c:gapWidth val="182"/>
        <c:axId val="387011560"/>
        <c:axId val="387011888"/>
      </c:barChart>
      <c:catAx>
        <c:axId val="387011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387011888"/>
        <c:crosses val="autoZero"/>
        <c:auto val="1"/>
        <c:lblAlgn val="ctr"/>
        <c:lblOffset val="100"/>
        <c:noMultiLvlLbl val="0"/>
      </c:catAx>
      <c:valAx>
        <c:axId val="387011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011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How</a:t>
            </a:r>
            <a:r>
              <a:rPr lang="en-US" sz="2000" baseline="0"/>
              <a:t> Activities are Tailored</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2-C018-47EC-8F94-0EFA609D96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018-47EC-8F94-0EFA609D96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C018-47EC-8F94-0EFA609D96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8-C018-47EC-8F94-0EFA609D9611}"/>
              </c:ext>
            </c:extLst>
          </c:dPt>
          <c:dLbls>
            <c:dLbl>
              <c:idx val="0"/>
              <c:layout>
                <c:manualLayout>
                  <c:x val="-0.20016233614266213"/>
                  <c:y val="8.5375394683549558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738048833894337"/>
                      <c:h val="7.5935163287610311E-2"/>
                    </c:manualLayout>
                  </c15:layout>
                </c:ext>
                <c:ext xmlns:c16="http://schemas.microsoft.com/office/drawing/2014/chart" uri="{C3380CC4-5D6E-409C-BE32-E72D297353CC}">
                  <c16:uniqueId val="{00000002-C018-47EC-8F94-0EFA609D9611}"/>
                </c:ext>
              </c:extLst>
            </c:dLbl>
            <c:dLbl>
              <c:idx val="1"/>
              <c:layout>
                <c:manualLayout>
                  <c:x val="0.19441192233990437"/>
                  <c:y val="-0.2140495644433664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018-47EC-8F94-0EFA609D9611}"/>
                </c:ext>
              </c:extLst>
            </c:dLbl>
            <c:dLbl>
              <c:idx val="2"/>
              <c:layout>
                <c:manualLayout>
                  <c:x val="-8.6493626474510255E-2"/>
                  <c:y val="4.3784539444956534E-2"/>
                </c:manualLayout>
              </c:layout>
              <c:showLegendKey val="0"/>
              <c:showVal val="1"/>
              <c:showCatName val="1"/>
              <c:showSerName val="0"/>
              <c:showPercent val="0"/>
              <c:showBubbleSize val="0"/>
              <c:extLst>
                <c:ext xmlns:c15="http://schemas.microsoft.com/office/drawing/2012/chart" uri="{CE6537A1-D6FC-4f65-9D91-7224C49458BB}">
                  <c15:layout>
                    <c:manualLayout>
                      <c:w val="0.23515757322799721"/>
                      <c:h val="8.8017933075906774E-2"/>
                    </c:manualLayout>
                  </c15:layout>
                </c:ext>
                <c:ext xmlns:c16="http://schemas.microsoft.com/office/drawing/2014/chart" uri="{C3380CC4-5D6E-409C-BE32-E72D297353CC}">
                  <c16:uniqueId val="{00000006-C018-47EC-8F94-0EFA609D9611}"/>
                </c:ext>
              </c:extLst>
            </c:dLbl>
            <c:dLbl>
              <c:idx val="3"/>
              <c:layout>
                <c:manualLayout>
                  <c:x val="0.23634429379366342"/>
                  <c:y val="5.3265265903263026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layout>
                    <c:manualLayout>
                      <c:w val="0.31042625853550571"/>
                      <c:h val="0.13249371455839765"/>
                    </c:manualLayout>
                  </c15:layout>
                </c:ext>
                <c:ext xmlns:c16="http://schemas.microsoft.com/office/drawing/2014/chart" uri="{C3380CC4-5D6E-409C-BE32-E72D297353CC}">
                  <c16:uniqueId val="{00000008-C018-47EC-8F94-0EFA609D9611}"/>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'Design Data'!$C$55:$C$58</c:f>
              <c:strCache>
                <c:ptCount val="4"/>
                <c:pt idx="0">
                  <c:v>Needs</c:v>
                </c:pt>
                <c:pt idx="1">
                  <c:v>Different needs, roles and dynamics</c:v>
                </c:pt>
                <c:pt idx="2">
                  <c:v>Activities do not address needs</c:v>
                </c:pt>
                <c:pt idx="3">
                  <c:v>Social gendered barriers &amp; discrimination</c:v>
                </c:pt>
              </c:strCache>
            </c:strRef>
          </c:cat>
          <c:val>
            <c:numRef>
              <c:f>'Design Data'!$E$55:$E$58</c:f>
              <c:numCache>
                <c:formatCode>0%</c:formatCode>
                <c:ptCount val="4"/>
                <c:pt idx="0">
                  <c:v>0.42424242424242425</c:v>
                </c:pt>
                <c:pt idx="1">
                  <c:v>0.42424242424242425</c:v>
                </c:pt>
                <c:pt idx="2">
                  <c:v>0.12121212121212122</c:v>
                </c:pt>
                <c:pt idx="3">
                  <c:v>3.0303030303030304E-2</c:v>
                </c:pt>
              </c:numCache>
            </c:numRef>
          </c:val>
          <c:extLst>
            <c:ext xmlns:c16="http://schemas.microsoft.com/office/drawing/2014/chart" uri="{C3380CC4-5D6E-409C-BE32-E72D297353CC}">
              <c16:uniqueId val="{00000009-C018-47EC-8F94-0EFA609D9611}"/>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A-CAFB-4E38-A001-99CA9DB405E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9-CAFB-4E38-A001-99CA9DB405E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8-CAFB-4E38-A001-99CA9DB405E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7F-4C76-9EC1-41FAC8607DD5}"/>
                    </c:ext>
                  </c:extLst>
                </c:dPt>
                <c:dLbls>
                  <c:dLbl>
                    <c:idx val="0"/>
                    <c:layout>
                      <c:manualLayout>
                        <c:x val="-0.14772707963056131"/>
                        <c:y val="2.4353188278959111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A-CAFB-4E38-A001-99CA9DB405E2}"/>
                      </c:ext>
                    </c:extLst>
                  </c:dLbl>
                  <c:dLbl>
                    <c:idx val="1"/>
                    <c:layout>
                      <c:manualLayout>
                        <c:x val="0.18575610326886427"/>
                        <c:y val="-4.8083060821694751E-2"/>
                      </c:manualLayout>
                    </c:layout>
                    <c:showLegendKey val="0"/>
                    <c:showVal val="1"/>
                    <c:showCatName val="0"/>
                    <c:showSerName val="0"/>
                    <c:showPercent val="0"/>
                    <c:showBubbleSize val="0"/>
                    <c:extLst>
                      <c:ext uri="{CE6537A1-D6FC-4f65-9D91-7224C49458BB}">
                        <c15:layout>
                          <c:manualLayout>
                            <c:w val="7.5121953527849547E-2"/>
                            <c:h val="6.7556110786908485E-2"/>
                          </c:manualLayout>
                        </c15:layout>
                      </c:ext>
                      <c:ext xmlns:c16="http://schemas.microsoft.com/office/drawing/2014/chart" uri="{C3380CC4-5D6E-409C-BE32-E72D297353CC}">
                        <c16:uniqueId val="{00000009-CAFB-4E38-A001-99CA9DB405E2}"/>
                      </c:ext>
                    </c:extLst>
                  </c:dLbl>
                  <c:dLbl>
                    <c:idx val="2"/>
                    <c:layout>
                      <c:manualLayout>
                        <c:x val="-5.0536586918735145E-2"/>
                        <c:y val="1.1238486637555507E-2"/>
                      </c:manualLayout>
                    </c:layout>
                    <c:showLegendKey val="0"/>
                    <c:showVal val="1"/>
                    <c:showCatName val="0"/>
                    <c:showSerName val="0"/>
                    <c:showPercent val="0"/>
                    <c:showBubbleSize val="0"/>
                    <c:extLst>
                      <c:ext uri="{CE6537A1-D6FC-4f65-9D91-7224C49458BB}">
                        <c15:layout>
                          <c:manualLayout>
                            <c:w val="5.5658538295633976E-2"/>
                            <c:h val="6.7556110786908485E-2"/>
                          </c:manualLayout>
                        </c15:layout>
                      </c:ext>
                      <c:ext xmlns:c16="http://schemas.microsoft.com/office/drawing/2014/chart" uri="{C3380CC4-5D6E-409C-BE32-E72D297353CC}">
                        <c16:uniqueId val="{00000008-CAFB-4E38-A001-99CA9DB405E2}"/>
                      </c:ext>
                    </c:extLst>
                  </c:dLbl>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'Design Data'!$C$55:$C$58</c15:sqref>
                        </c15:formulaRef>
                      </c:ext>
                    </c:extLst>
                    <c:strCache>
                      <c:ptCount val="4"/>
                      <c:pt idx="0">
                        <c:v>Needs</c:v>
                      </c:pt>
                      <c:pt idx="1">
                        <c:v>Different needs, roles and dynamics</c:v>
                      </c:pt>
                      <c:pt idx="2">
                        <c:v>Activities do not address needs</c:v>
                      </c:pt>
                      <c:pt idx="3">
                        <c:v>Social gendered barriers &amp; discrimination</c:v>
                      </c:pt>
                    </c:strCache>
                  </c:strRef>
                </c:cat>
                <c:val>
                  <c:numRef>
                    <c:extLst>
                      <c:ext uri="{02D57815-91ED-43cb-92C2-25804820EDAC}">
                        <c15:formulaRef>
                          <c15:sqref>'Design Data'!$D$55:$D$58</c15:sqref>
                        </c15:formulaRef>
                      </c:ext>
                    </c:extLst>
                    <c:numCache>
                      <c:formatCode>General</c:formatCode>
                      <c:ptCount val="4"/>
                      <c:pt idx="0">
                        <c:v>14</c:v>
                      </c:pt>
                      <c:pt idx="1">
                        <c:v>14</c:v>
                      </c:pt>
                      <c:pt idx="2">
                        <c:v>4</c:v>
                      </c:pt>
                      <c:pt idx="3">
                        <c:v>1</c:v>
                      </c:pt>
                    </c:numCache>
                  </c:numRef>
                </c:val>
                <c:extLst>
                  <c:ext xmlns:c16="http://schemas.microsoft.com/office/drawing/2014/chart" uri="{C3380CC4-5D6E-409C-BE32-E72D297353CC}">
                    <c16:uniqueId val="{00000000-C018-47EC-8F94-0EFA609D9611}"/>
                  </c:ext>
                </c:extLst>
              </c15:ser>
            </c15:filteredPieSeries>
          </c:ext>
        </c:extLst>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Activities Tailoring - Gender</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spPr>
            <a:solidFill>
              <a:schemeClr val="accent2"/>
            </a:solidFill>
            <a:ln>
              <a:noFill/>
            </a:ln>
            <a:effectLst/>
          </c:spPr>
          <c:invertIfNegative val="0"/>
          <c:cat>
            <c:strRef>
              <c:f>'Design Data'!$C$61:$C$65</c:f>
              <c:strCache>
                <c:ptCount val="5"/>
                <c:pt idx="0">
                  <c:v>Women</c:v>
                </c:pt>
                <c:pt idx="1">
                  <c:v>Girls</c:v>
                </c:pt>
                <c:pt idx="2">
                  <c:v>Boys</c:v>
                </c:pt>
                <c:pt idx="3">
                  <c:v>Men</c:v>
                </c:pt>
                <c:pt idx="4">
                  <c:v>Diverse gender</c:v>
                </c:pt>
              </c:strCache>
            </c:strRef>
          </c:cat>
          <c:val>
            <c:numRef>
              <c:f>'Design Data'!$E$61:$E$65</c:f>
              <c:numCache>
                <c:formatCode>0%</c:formatCode>
                <c:ptCount val="5"/>
                <c:pt idx="0">
                  <c:v>0.78787878787878785</c:v>
                </c:pt>
                <c:pt idx="1">
                  <c:v>0.75757575757575757</c:v>
                </c:pt>
                <c:pt idx="2">
                  <c:v>0.63636363636363635</c:v>
                </c:pt>
                <c:pt idx="3">
                  <c:v>0.69696969696969702</c:v>
                </c:pt>
                <c:pt idx="4">
                  <c:v>0.63636363636363635</c:v>
                </c:pt>
              </c:numCache>
            </c:numRef>
          </c:val>
          <c:extLst>
            <c:ext xmlns:c16="http://schemas.microsoft.com/office/drawing/2014/chart" uri="{C3380CC4-5D6E-409C-BE32-E72D297353CC}">
              <c16:uniqueId val="{00000001-8368-42FF-A500-F9EBFD1B49CC}"/>
            </c:ext>
          </c:extLst>
        </c:ser>
        <c:dLbls>
          <c:showLegendKey val="0"/>
          <c:showVal val="0"/>
          <c:showCatName val="0"/>
          <c:showSerName val="0"/>
          <c:showPercent val="0"/>
          <c:showBubbleSize val="0"/>
        </c:dLbls>
        <c:gapWidth val="219"/>
        <c:overlap val="-27"/>
        <c:axId val="928895000"/>
        <c:axId val="928892704"/>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'Design Data'!$C$61:$C$65</c15:sqref>
                        </c15:formulaRef>
                      </c:ext>
                    </c:extLst>
                    <c:strCache>
                      <c:ptCount val="5"/>
                      <c:pt idx="0">
                        <c:v>Women</c:v>
                      </c:pt>
                      <c:pt idx="1">
                        <c:v>Girls</c:v>
                      </c:pt>
                      <c:pt idx="2">
                        <c:v>Boys</c:v>
                      </c:pt>
                      <c:pt idx="3">
                        <c:v>Men</c:v>
                      </c:pt>
                      <c:pt idx="4">
                        <c:v>Diverse gender</c:v>
                      </c:pt>
                    </c:strCache>
                  </c:strRef>
                </c:cat>
                <c:val>
                  <c:numRef>
                    <c:extLst>
                      <c:ext uri="{02D57815-91ED-43cb-92C2-25804820EDAC}">
                        <c15:formulaRef>
                          <c15:sqref>'Design Data'!$D$61:$D$65</c15:sqref>
                        </c15:formulaRef>
                      </c:ext>
                    </c:extLst>
                    <c:numCache>
                      <c:formatCode>General</c:formatCode>
                      <c:ptCount val="5"/>
                      <c:pt idx="0">
                        <c:v>26</c:v>
                      </c:pt>
                      <c:pt idx="1">
                        <c:v>25</c:v>
                      </c:pt>
                      <c:pt idx="2">
                        <c:v>21</c:v>
                      </c:pt>
                      <c:pt idx="3">
                        <c:v>23</c:v>
                      </c:pt>
                      <c:pt idx="4">
                        <c:v>21</c:v>
                      </c:pt>
                    </c:numCache>
                  </c:numRef>
                </c:val>
                <c:extLst>
                  <c:ext xmlns:c16="http://schemas.microsoft.com/office/drawing/2014/chart" uri="{C3380CC4-5D6E-409C-BE32-E72D297353CC}">
                    <c16:uniqueId val="{00000000-8368-42FF-A500-F9EBFD1B49CC}"/>
                  </c:ext>
                </c:extLst>
              </c15:ser>
            </c15:filteredBarSeries>
          </c:ext>
        </c:extLst>
      </c:barChart>
      <c:catAx>
        <c:axId val="928895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92704"/>
        <c:crosses val="autoZero"/>
        <c:auto val="1"/>
        <c:lblAlgn val="ctr"/>
        <c:lblOffset val="100"/>
        <c:noMultiLvlLbl val="0"/>
      </c:catAx>
      <c:valAx>
        <c:axId val="928892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 of Proposals</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95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9826561-4DB5-4700-BD30-211A77394D85}">
  <sheetPr/>
  <sheetViews>
    <sheetView zoomScale="65"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5FDC579-B52C-4E1C-8805-98376CEA7A18}">
  <sheetPr/>
  <sheetViews>
    <sheetView zoomScale="65"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3AE9B46-1A36-4FB6-94B2-BEF836BE6DBA}">
  <sheetPr/>
  <sheetViews>
    <sheetView zoomScale="65"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AEE84B8-8D3A-4180-A1DA-DFAC6EB8A20A}">
  <sheetPr/>
  <sheetViews>
    <sheetView zoomScale="65" workbookViewId="0" zoomToFit="1"/>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B8A0B49-FA8B-41CE-B911-DF636D393D82}">
  <sheetPr/>
  <sheetViews>
    <sheetView zoomScale="65"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1EA636D-89CA-4881-A979-9FA2907122DE}">
  <sheetPr/>
  <sheetViews>
    <sheetView zoomScale="65" workbookViewId="0" zoomToFit="1"/>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9265B62-330E-4C16-9A30-FB9ECF90625C}">
  <sheetPr/>
  <sheetViews>
    <sheetView zoomScale="65" workbookViewId="0" zoomToFit="1"/>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4C049EB-1844-49B9-AEC9-F88838CCC483}">
  <sheetPr/>
  <sheetViews>
    <sheetView zoomScale="65" workbookViewId="0" zoomToFit="1"/>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05C4CA1-AD63-49A8-AE8B-1BF65E62EF13}">
  <sheetPr/>
  <sheetViews>
    <sheetView zoomScale="65" workbookViewId="0" zoomToFit="1"/>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9B9CF8C-2A3D-4044-B2EB-EB2AA21AFB19}">
  <sheetPr/>
  <sheetViews>
    <sheetView zoomScale="6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75C2FC1-73F2-4D54-98C1-A44107A24FA4}">
  <sheetPr/>
  <sheetViews>
    <sheetView zoomScale="6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6CC55A7-0DA1-4D4E-BEE1-CA453558D3ED}">
  <sheetPr/>
  <sheetViews>
    <sheetView zoomScale="6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58BD231-4F40-414A-ACDE-7E64168EB7C9}">
  <sheetPr/>
  <sheetViews>
    <sheetView zoomScale="65"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2495F6B-A2ED-4359-9DAF-5F637A53EEBA}">
  <sheetPr/>
  <sheetViews>
    <sheetView zoomScale="65"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B7A4E68-0D5A-40B0-8680-5EA2FBF2724D}">
  <sheetPr/>
  <sheetViews>
    <sheetView zoomScale="70"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29248DF-5B48-4322-B216-102A26403AC4}">
  <sheetPr/>
  <sheetViews>
    <sheetView zoomScale="65"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933385-F98C-48FE-ADF4-A0220FEF16D2}">
  <sheetPr/>
  <sheetViews>
    <sheetView zoomScale="65"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193DD36-95A2-445A-A919-EAED48F7DA07}">
  <sheetPr/>
  <sheetViews>
    <sheetView zoomScale="6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53571E95-00E6-4B1D-B5BD-6F3C712E001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D8264E1D-AF76-4C7F-8E85-DBE22AD252B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860583D4-B171-44E8-B32E-D2ED41DD6BC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37009F88-64A9-4405-BC74-E797E36EDF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01CB4688-26CD-4072-9785-8B2F5D870B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E9BFF4DF-1C2F-4661-92B5-C4BA90A52A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FEC8034C-B36C-40C4-A16E-924AF9863D8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2B794838-8ABC-4A73-B237-DA770B970DA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01B44A9F-124B-481D-BADF-CEE4404AC4C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EE5E5084-95C2-4F67-A5C3-7CDC8168574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DA6AEB12-142A-4FBA-B9A9-DDCAFE849FF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FAA5C970-04CE-4595-ADD1-B72434EE02F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FABB6A87-E851-497F-8C98-54D44C2A43F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F6DACE36-8100-4F20-BC1F-FFECF09D588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54E111E7-6A7E-4A13-BF12-84059C28EDB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A6E16E31-5AD8-4E7C-A91F-468939BF8F0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41FA3834-0B14-4853-9DAE-75E3D599FA1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E55A21F1-39D2-4232-802E-39D66054A4B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IFTON/Desktop/GAM%202019/GAM%20Data,%20Analysis/Iraq%20GAM-HPC%20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MTool_DataFile%20RMR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Iraq GAMs"/>
      <sheetName val="GAMs for Accepted HPC"/>
      <sheetName val="GEM A"/>
      <sheetName val="GEM D"/>
      <sheetName val="GEM G"/>
      <sheetName val="GEM J"/>
      <sheetName val="HPC Iraq"/>
    </sheetNames>
    <sheetDataSet>
      <sheetData sheetId="0" refreshError="1"/>
      <sheetData sheetId="1">
        <row r="1">
          <cell r="J1" t="str">
            <v>PJ_GenGrps</v>
          </cell>
          <cell r="K1" t="str">
            <v>PJ_AgeGrps</v>
          </cell>
          <cell r="L1" t="str">
            <v>PJ_ConfirmNA</v>
          </cell>
        </row>
        <row r="2">
          <cell r="J2" t="str">
            <v>W G B M</v>
          </cell>
          <cell r="K2" t="str">
            <v>YC CH AD YA MA OA</v>
          </cell>
        </row>
        <row r="3">
          <cell r="J3" t="str">
            <v>W G B M</v>
          </cell>
          <cell r="K3" t="str">
            <v>YC CH YA MA</v>
          </cell>
        </row>
        <row r="4">
          <cell r="J4" t="str">
            <v>W G B M</v>
          </cell>
          <cell r="K4" t="str">
            <v>YC CH AD YA MA OA</v>
          </cell>
        </row>
        <row r="5">
          <cell r="J5" t="str">
            <v>W G B M</v>
          </cell>
          <cell r="K5" t="str">
            <v>YC CH AD YA MA OA</v>
          </cell>
        </row>
        <row r="6">
          <cell r="J6" t="str">
            <v>W G B M</v>
          </cell>
          <cell r="K6" t="str">
            <v>YC CH AD YA MA OA</v>
          </cell>
        </row>
        <row r="7">
          <cell r="J7" t="str">
            <v>W G B M</v>
          </cell>
          <cell r="K7" t="str">
            <v>YC CH AD YA MA OA</v>
          </cell>
        </row>
        <row r="8">
          <cell r="J8" t="str">
            <v>W B M</v>
          </cell>
          <cell r="K8" t="str">
            <v>YA MA OA</v>
          </cell>
        </row>
        <row r="9">
          <cell r="J9" t="str">
            <v>W M</v>
          </cell>
          <cell r="K9" t="str">
            <v>YA MA OA</v>
          </cell>
        </row>
        <row r="10">
          <cell r="J10" t="str">
            <v>W G B M D</v>
          </cell>
          <cell r="K10" t="str">
            <v>YC CH AD YA MA OA</v>
          </cell>
        </row>
        <row r="11">
          <cell r="J11" t="str">
            <v>W G B M D</v>
          </cell>
          <cell r="K11" t="str">
            <v>YC CH AD YA MA OA</v>
          </cell>
        </row>
        <row r="12">
          <cell r="J12" t="str">
            <v>W G B M D</v>
          </cell>
          <cell r="K12" t="str">
            <v>YC CH AD YA MA OA</v>
          </cell>
        </row>
        <row r="13">
          <cell r="J13" t="str">
            <v>W G B M</v>
          </cell>
          <cell r="K13" t="str">
            <v>CH MA OA</v>
          </cell>
        </row>
        <row r="14">
          <cell r="J14" t="str">
            <v>W G B M</v>
          </cell>
          <cell r="K14" t="str">
            <v>YC CH AD YA MA OA</v>
          </cell>
        </row>
        <row r="15">
          <cell r="J15" t="str">
            <v>W M</v>
          </cell>
          <cell r="K15" t="str">
            <v>YA MA OA</v>
          </cell>
        </row>
        <row r="16">
          <cell r="J16" t="str">
            <v>W G B M</v>
          </cell>
          <cell r="K16" t="str">
            <v>YC CH AD YA MA OA</v>
          </cell>
        </row>
        <row r="17">
          <cell r="J17" t="str">
            <v>W G B M</v>
          </cell>
          <cell r="K17" t="str">
            <v>YC CH AD YA MA OA</v>
          </cell>
        </row>
        <row r="18">
          <cell r="J18" t="str">
            <v>W G B M</v>
          </cell>
          <cell r="K18" t="str">
            <v>YC CH AD</v>
          </cell>
        </row>
        <row r="19">
          <cell r="J19" t="str">
            <v>W G</v>
          </cell>
          <cell r="K19" t="str">
            <v>AD YA MA OA</v>
          </cell>
        </row>
        <row r="20">
          <cell r="J20" t="str">
            <v>W G B M</v>
          </cell>
          <cell r="K20" t="str">
            <v>YC CH AD YA MA</v>
          </cell>
        </row>
        <row r="21">
          <cell r="J21" t="str">
            <v>W G B M</v>
          </cell>
          <cell r="K21" t="str">
            <v>YC CH AD YA MA OA</v>
          </cell>
        </row>
        <row r="22">
          <cell r="J22" t="str">
            <v>W G B M</v>
          </cell>
          <cell r="K22" t="str">
            <v>YC CH AD YA MA OA</v>
          </cell>
        </row>
        <row r="23">
          <cell r="J23" t="str">
            <v>W M</v>
          </cell>
          <cell r="K23" t="str">
            <v>YA MA</v>
          </cell>
        </row>
        <row r="24">
          <cell r="J24" t="str">
            <v>W G B M</v>
          </cell>
          <cell r="K24" t="str">
            <v>YC CH AD YA MA OA</v>
          </cell>
        </row>
        <row r="25">
          <cell r="J25" t="str">
            <v>G B</v>
          </cell>
          <cell r="K25" t="str">
            <v>YC CH AD</v>
          </cell>
        </row>
        <row r="26">
          <cell r="J26" t="str">
            <v>W G B M</v>
          </cell>
          <cell r="K26" t="str">
            <v>YC CH AD YA MA OA</v>
          </cell>
        </row>
        <row r="27">
          <cell r="J27" t="str">
            <v>W G B M</v>
          </cell>
          <cell r="K27" t="str">
            <v>CH AD YA MA</v>
          </cell>
        </row>
        <row r="28">
          <cell r="J28" t="str">
            <v>W G B M D</v>
          </cell>
          <cell r="K28" t="str">
            <v>CH AD YA MA</v>
          </cell>
        </row>
        <row r="29">
          <cell r="J29" t="str">
            <v>W G B M</v>
          </cell>
          <cell r="K29" t="str">
            <v>YC CH AD YA MA OA</v>
          </cell>
        </row>
        <row r="30">
          <cell r="J30" t="str">
            <v>W G B M D</v>
          </cell>
          <cell r="K30" t="str">
            <v>YC CH AD YA MA OA</v>
          </cell>
        </row>
        <row r="31">
          <cell r="J31" t="str">
            <v>W G B M</v>
          </cell>
          <cell r="K31" t="str">
            <v>NA</v>
          </cell>
        </row>
        <row r="32">
          <cell r="J32" t="str">
            <v>W G B M D</v>
          </cell>
          <cell r="K32" t="str">
            <v>YC CH AD YA MA OA</v>
          </cell>
        </row>
        <row r="33">
          <cell r="J33" t="str">
            <v>W G B M</v>
          </cell>
          <cell r="K33" t="str">
            <v>YC CH AD YA MA OA</v>
          </cell>
        </row>
        <row r="34">
          <cell r="J34" t="str">
            <v>W G B M</v>
          </cell>
          <cell r="K34" t="str">
            <v>YC CH AD YA MA OA</v>
          </cell>
        </row>
        <row r="35">
          <cell r="J35" t="str">
            <v>W G B M</v>
          </cell>
          <cell r="K35" t="str">
            <v>CH AD YA MA OA</v>
          </cell>
        </row>
        <row r="36">
          <cell r="J36" t="str">
            <v>W G B M</v>
          </cell>
          <cell r="K36" t="str">
            <v>YC CH AD YA MA</v>
          </cell>
        </row>
        <row r="37">
          <cell r="J37" t="str">
            <v>W G B M</v>
          </cell>
          <cell r="K37" t="str">
            <v>YC CH AD YA MA OA</v>
          </cell>
        </row>
        <row r="38">
          <cell r="J38" t="str">
            <v>W G B M</v>
          </cell>
          <cell r="K38" t="str">
            <v>YC CH AD YA MA OA</v>
          </cell>
        </row>
        <row r="39">
          <cell r="J39" t="str">
            <v>W G B M</v>
          </cell>
          <cell r="K39" t="str">
            <v>CH AD MA OA</v>
          </cell>
        </row>
        <row r="40">
          <cell r="J40" t="str">
            <v>W G B M</v>
          </cell>
          <cell r="K40" t="str">
            <v>YC CH AD YA MA OA</v>
          </cell>
        </row>
        <row r="41">
          <cell r="J41" t="str">
            <v>W G B M</v>
          </cell>
          <cell r="K41" t="str">
            <v>YC CH AD YA MA</v>
          </cell>
        </row>
        <row r="42">
          <cell r="J42" t="str">
            <v>W G B M D</v>
          </cell>
          <cell r="K42" t="str">
            <v>YC CH AD YA MA OA</v>
          </cell>
        </row>
        <row r="43">
          <cell r="J43" t="str">
            <v>W G B M</v>
          </cell>
          <cell r="K43" t="str">
            <v>YC CH AD YA MA OA</v>
          </cell>
        </row>
        <row r="44">
          <cell r="J44" t="str">
            <v>W G B M</v>
          </cell>
          <cell r="K44" t="str">
            <v>YC CH AD YA MA OA</v>
          </cell>
        </row>
        <row r="45">
          <cell r="J45" t="str">
            <v>W G B M D</v>
          </cell>
          <cell r="K45" t="str">
            <v>AD YA MA OA</v>
          </cell>
        </row>
        <row r="46">
          <cell r="J46" t="str">
            <v>W G B M D</v>
          </cell>
          <cell r="K46" t="str">
            <v>YC CH AD YA MA OA</v>
          </cell>
        </row>
        <row r="47">
          <cell r="J47" t="str">
            <v>W G B M D</v>
          </cell>
          <cell r="K47" t="str">
            <v>CH AD YA MA</v>
          </cell>
        </row>
        <row r="48">
          <cell r="J48" t="str">
            <v>W G B M D</v>
          </cell>
          <cell r="K48" t="str">
            <v>YC CH AD YA MA OA</v>
          </cell>
        </row>
        <row r="49">
          <cell r="J49" t="str">
            <v>W G B M</v>
          </cell>
          <cell r="K49" t="str">
            <v>YC CH AD YA MA OA</v>
          </cell>
        </row>
        <row r="50">
          <cell r="J50" t="str">
            <v>W G B M</v>
          </cell>
          <cell r="K50" t="str">
            <v>CH AD YA MA</v>
          </cell>
        </row>
        <row r="51">
          <cell r="J51" t="str">
            <v>D</v>
          </cell>
          <cell r="K51" t="str">
            <v>YC CH AD YA MA OA</v>
          </cell>
        </row>
        <row r="52">
          <cell r="J52" t="str">
            <v>W G B M</v>
          </cell>
          <cell r="K52" t="str">
            <v>YC CH AD YA MA OA</v>
          </cell>
        </row>
        <row r="53">
          <cell r="J53" t="str">
            <v>G B</v>
          </cell>
          <cell r="K53" t="str">
            <v>CH AD YA</v>
          </cell>
        </row>
        <row r="54">
          <cell r="J54" t="str">
            <v>W G B M</v>
          </cell>
          <cell r="K54" t="str">
            <v>YC CH AD YA MA OA</v>
          </cell>
        </row>
        <row r="55">
          <cell r="J55" t="str">
            <v>W G B M D</v>
          </cell>
          <cell r="K55" t="str">
            <v>YC CH AD YA MA OA</v>
          </cell>
        </row>
        <row r="56">
          <cell r="J56" t="str">
            <v>D</v>
          </cell>
          <cell r="K56" t="str">
            <v>NA</v>
          </cell>
        </row>
        <row r="57">
          <cell r="J57" t="str">
            <v>W G B M D</v>
          </cell>
          <cell r="K57" t="str">
            <v>CH AD YA MA OA</v>
          </cell>
        </row>
        <row r="58">
          <cell r="J58" t="str">
            <v>W M</v>
          </cell>
          <cell r="K58" t="str">
            <v>AD YA MA OA</v>
          </cell>
        </row>
        <row r="59">
          <cell r="J59" t="str">
            <v>W G B M</v>
          </cell>
          <cell r="K59" t="str">
            <v>YC CH AD YA MA OA</v>
          </cell>
        </row>
        <row r="60">
          <cell r="J60" t="str">
            <v>W G B M D</v>
          </cell>
          <cell r="K60" t="str">
            <v>YC CH AD YA MA OA</v>
          </cell>
        </row>
        <row r="61">
          <cell r="J61" t="str">
            <v>W G B M D</v>
          </cell>
          <cell r="K61" t="str">
            <v>YC CH AD YA MA OA</v>
          </cell>
        </row>
        <row r="62">
          <cell r="J62" t="str">
            <v>W G B M</v>
          </cell>
          <cell r="K62" t="str">
            <v>YC CH AD YA MA OA</v>
          </cell>
        </row>
        <row r="63">
          <cell r="J63" t="str">
            <v>W G B M</v>
          </cell>
          <cell r="K63" t="str">
            <v>YC CH AD YA MA</v>
          </cell>
        </row>
        <row r="64">
          <cell r="J64" t="str">
            <v>NA</v>
          </cell>
          <cell r="L64" t="str">
            <v>CT SL DV</v>
          </cell>
        </row>
        <row r="65">
          <cell r="J65" t="str">
            <v>W G B M</v>
          </cell>
          <cell r="K65" t="str">
            <v>YC CH AD YA MA OA</v>
          </cell>
        </row>
        <row r="66">
          <cell r="J66" t="str">
            <v>W G</v>
          </cell>
          <cell r="K66" t="str">
            <v>AD YA MA</v>
          </cell>
        </row>
        <row r="67">
          <cell r="J67" t="str">
            <v>D</v>
          </cell>
          <cell r="K67" t="str">
            <v>YC CH AD YA MA OA</v>
          </cell>
        </row>
        <row r="68">
          <cell r="J68" t="str">
            <v>W G B M</v>
          </cell>
          <cell r="K68" t="str">
            <v>YC CH AD YA MA OA</v>
          </cell>
        </row>
        <row r="69">
          <cell r="J69" t="str">
            <v>W G B M</v>
          </cell>
          <cell r="K69" t="str">
            <v>YC CH AD YA MA</v>
          </cell>
        </row>
        <row r="70">
          <cell r="J70" t="str">
            <v>W G B M</v>
          </cell>
          <cell r="K70" t="str">
            <v>YC CH AD YA MA OA</v>
          </cell>
        </row>
        <row r="71">
          <cell r="J71" t="str">
            <v>W G B M</v>
          </cell>
          <cell r="K71" t="str">
            <v>NA</v>
          </cell>
        </row>
        <row r="72">
          <cell r="J72" t="str">
            <v>W G B M</v>
          </cell>
          <cell r="K72" t="str">
            <v>YC CH AD YA MA OA</v>
          </cell>
        </row>
        <row r="73">
          <cell r="J73" t="str">
            <v>W G B M D</v>
          </cell>
          <cell r="K73" t="str">
            <v>YC CH AD YA MA OA</v>
          </cell>
        </row>
        <row r="74">
          <cell r="J74" t="str">
            <v>W G B M</v>
          </cell>
          <cell r="K74" t="str">
            <v>YC CH AD YA MA OA</v>
          </cell>
        </row>
        <row r="75">
          <cell r="J75" t="str">
            <v>W G B M</v>
          </cell>
          <cell r="K75" t="str">
            <v>YC CH AD YA MA OA</v>
          </cell>
        </row>
        <row r="76">
          <cell r="J76" t="str">
            <v>W G B M</v>
          </cell>
          <cell r="K76" t="str">
            <v>AD YA MA OA</v>
          </cell>
        </row>
        <row r="77">
          <cell r="J77" t="str">
            <v>W M</v>
          </cell>
          <cell r="K77" t="str">
            <v>YA MA OA</v>
          </cell>
        </row>
        <row r="78">
          <cell r="J78" t="str">
            <v>W G B M</v>
          </cell>
          <cell r="K78" t="str">
            <v>CH AD YA MA</v>
          </cell>
        </row>
        <row r="79">
          <cell r="J79" t="str">
            <v>W G B M</v>
          </cell>
          <cell r="K79" t="str">
            <v>YC CH AD YA MA OA</v>
          </cell>
        </row>
        <row r="80">
          <cell r="J80" t="str">
            <v>W M</v>
          </cell>
          <cell r="K80" t="str">
            <v>YA MA OA</v>
          </cell>
        </row>
        <row r="81">
          <cell r="J81" t="str">
            <v>W G B M</v>
          </cell>
          <cell r="K81" t="str">
            <v>AD</v>
          </cell>
        </row>
        <row r="82">
          <cell r="J82" t="str">
            <v>W G B M</v>
          </cell>
          <cell r="K82" t="str">
            <v>CH AD MA</v>
          </cell>
        </row>
        <row r="83">
          <cell r="J83" t="str">
            <v>W G B M</v>
          </cell>
          <cell r="K83" t="str">
            <v>YC CH AD YA MA OA</v>
          </cell>
        </row>
        <row r="84">
          <cell r="J84" t="str">
            <v>G B</v>
          </cell>
          <cell r="K84" t="str">
            <v>YC CH AD YA</v>
          </cell>
        </row>
        <row r="85">
          <cell r="J85" t="str">
            <v>W G B M D</v>
          </cell>
          <cell r="K85" t="str">
            <v>YC CH AD YA MA OA</v>
          </cell>
        </row>
        <row r="86">
          <cell r="J86" t="str">
            <v>W G B M D</v>
          </cell>
          <cell r="K86" t="str">
            <v>YC CH AD YA MA OA</v>
          </cell>
        </row>
        <row r="87">
          <cell r="J87" t="str">
            <v>D</v>
          </cell>
          <cell r="K87" t="str">
            <v>YC CH AD YA MA OA</v>
          </cell>
        </row>
        <row r="88">
          <cell r="J88" t="str">
            <v>W G B M</v>
          </cell>
          <cell r="K88" t="str">
            <v>YC CH AD YA MA OA</v>
          </cell>
        </row>
        <row r="89">
          <cell r="J89" t="str">
            <v>W G B M</v>
          </cell>
          <cell r="K89" t="str">
            <v>YC CH AD YA MA OA</v>
          </cell>
        </row>
        <row r="90">
          <cell r="J90" t="str">
            <v>W G B M D</v>
          </cell>
          <cell r="K90" t="str">
            <v>YC CH AD YA MA OA</v>
          </cell>
        </row>
        <row r="91">
          <cell r="J91" t="str">
            <v>NA</v>
          </cell>
          <cell r="L91" t="str">
            <v>CT SL DV</v>
          </cell>
        </row>
        <row r="92">
          <cell r="J92" t="str">
            <v>W G B M D</v>
          </cell>
          <cell r="K92" t="str">
            <v>YC CH AD YA MA OA</v>
          </cell>
        </row>
        <row r="93">
          <cell r="J93" t="str">
            <v>D</v>
          </cell>
          <cell r="K93" t="str">
            <v>CH AD YA MA</v>
          </cell>
        </row>
        <row r="94">
          <cell r="J94" t="str">
            <v>W G B M</v>
          </cell>
          <cell r="K94" t="str">
            <v>YC CH AD YA MA</v>
          </cell>
        </row>
        <row r="95">
          <cell r="J95" t="str">
            <v>W G B M D</v>
          </cell>
          <cell r="K95" t="str">
            <v>YC CH AD YA MA OA</v>
          </cell>
        </row>
        <row r="96">
          <cell r="J96" t="str">
            <v>W G B M</v>
          </cell>
          <cell r="K96" t="str">
            <v>CH AD</v>
          </cell>
        </row>
        <row r="97">
          <cell r="J97" t="str">
            <v>W G B M</v>
          </cell>
          <cell r="K97" t="str">
            <v>YC CH AD MA</v>
          </cell>
        </row>
        <row r="98">
          <cell r="J98" t="str">
            <v>W G B M D</v>
          </cell>
          <cell r="K98" t="str">
            <v>YC CH AD YA MA OA</v>
          </cell>
        </row>
        <row r="99">
          <cell r="J99" t="str">
            <v>W G B M</v>
          </cell>
          <cell r="K99" t="str">
            <v>AD YA MA OA</v>
          </cell>
        </row>
        <row r="100">
          <cell r="J100" t="str">
            <v>W M</v>
          </cell>
          <cell r="K100" t="str">
            <v>YA MA</v>
          </cell>
        </row>
        <row r="101">
          <cell r="J101" t="str">
            <v>W G B M</v>
          </cell>
          <cell r="K101" t="str">
            <v>YC CH AD YA MA OA</v>
          </cell>
        </row>
        <row r="102">
          <cell r="J102" t="str">
            <v>W G B M D</v>
          </cell>
          <cell r="K102" t="str">
            <v>YC CH AD YA MA OA</v>
          </cell>
        </row>
        <row r="103">
          <cell r="J103" t="str">
            <v>W G B M D</v>
          </cell>
          <cell r="K103" t="str">
            <v>YC CH AD YA MA OA</v>
          </cell>
        </row>
        <row r="104">
          <cell r="J104" t="str">
            <v>W G B M</v>
          </cell>
          <cell r="K104" t="str">
            <v>YC CH AD YA</v>
          </cell>
        </row>
        <row r="105">
          <cell r="J105" t="str">
            <v>W G B M</v>
          </cell>
          <cell r="K105" t="str">
            <v>NA</v>
          </cell>
        </row>
        <row r="106">
          <cell r="J106" t="str">
            <v>W G</v>
          </cell>
          <cell r="K106" t="str">
            <v>CH AD YA MA OA</v>
          </cell>
        </row>
        <row r="107">
          <cell r="J107" t="str">
            <v>W G B M D</v>
          </cell>
          <cell r="K107" t="str">
            <v>YC CH AD MA</v>
          </cell>
        </row>
        <row r="108">
          <cell r="J108" t="str">
            <v>W M D</v>
          </cell>
          <cell r="K108" t="str">
            <v>MA OA</v>
          </cell>
        </row>
        <row r="109">
          <cell r="J109" t="str">
            <v>W G B M</v>
          </cell>
          <cell r="K109" t="str">
            <v>MA OA</v>
          </cell>
        </row>
        <row r="110">
          <cell r="J110" t="str">
            <v>W G B M</v>
          </cell>
          <cell r="K110" t="str">
            <v>CH MA OA</v>
          </cell>
        </row>
        <row r="111">
          <cell r="J111" t="str">
            <v>W G B</v>
          </cell>
          <cell r="K111" t="str">
            <v>CH YA MA</v>
          </cell>
        </row>
        <row r="112">
          <cell r="J112" t="str">
            <v>W G B M D</v>
          </cell>
          <cell r="K112" t="str">
            <v>CH AD YA MA OA</v>
          </cell>
        </row>
        <row r="113">
          <cell r="J113" t="str">
            <v>W G B M</v>
          </cell>
          <cell r="K113" t="str">
            <v>YC CH AD YA MA OA</v>
          </cell>
        </row>
        <row r="114">
          <cell r="J114" t="str">
            <v>W G B M D</v>
          </cell>
          <cell r="K114" t="str">
            <v>YC CH AD YA MA OA</v>
          </cell>
        </row>
        <row r="115">
          <cell r="J115" t="str">
            <v>W G B M</v>
          </cell>
          <cell r="K115" t="str">
            <v>CH AD MA OA</v>
          </cell>
        </row>
        <row r="116">
          <cell r="J116" t="str">
            <v>W G B M D</v>
          </cell>
          <cell r="K116" t="str">
            <v>YC CH AD YA MA OA</v>
          </cell>
        </row>
        <row r="117">
          <cell r="J117" t="str">
            <v>W G B M D</v>
          </cell>
          <cell r="K117" t="str">
            <v>YC CH AD YA MA OA</v>
          </cell>
        </row>
        <row r="118">
          <cell r="J118" t="str">
            <v>W G</v>
          </cell>
          <cell r="K118" t="str">
            <v>AD YA MA</v>
          </cell>
        </row>
        <row r="119">
          <cell r="J119" t="str">
            <v>W G B M D</v>
          </cell>
          <cell r="K119" t="str">
            <v>YA MA OA</v>
          </cell>
        </row>
        <row r="120">
          <cell r="J120" t="str">
            <v>W G B M D</v>
          </cell>
          <cell r="K120" t="str">
            <v>YC CH AD YA MA OA</v>
          </cell>
        </row>
        <row r="121">
          <cell r="J121" t="str">
            <v>G B</v>
          </cell>
          <cell r="K121" t="str">
            <v>YC CH</v>
          </cell>
        </row>
        <row r="122">
          <cell r="J122" t="str">
            <v>W G B M D</v>
          </cell>
          <cell r="K122" t="str">
            <v>YC CH AD YA MA OA</v>
          </cell>
        </row>
        <row r="123">
          <cell r="J123" t="str">
            <v>NA</v>
          </cell>
          <cell r="L123" t="str">
            <v>CT SL DV</v>
          </cell>
        </row>
        <row r="124">
          <cell r="J124" t="str">
            <v>NA</v>
          </cell>
          <cell r="L124" t="str">
            <v>CT SL DV</v>
          </cell>
        </row>
        <row r="125">
          <cell r="J125" t="str">
            <v>W G B M D</v>
          </cell>
          <cell r="K125" t="str">
            <v>YC CH AD YA MA OA</v>
          </cell>
        </row>
        <row r="126">
          <cell r="J126" t="str">
            <v>W G B M D</v>
          </cell>
          <cell r="K126" t="str">
            <v>YC CH AD YA MA OA</v>
          </cell>
        </row>
        <row r="127">
          <cell r="J127" t="str">
            <v>W G B</v>
          </cell>
          <cell r="K127" t="str">
            <v>CH MA OA</v>
          </cell>
        </row>
      </sheetData>
      <sheetData sheetId="2" refreshError="1"/>
      <sheetData sheetId="3" refreshError="1"/>
      <sheetData sheetId="4" refreshError="1"/>
      <sheetData sheetId="5" refreshError="1"/>
      <sheetData sheetId="6">
        <row r="2">
          <cell r="E2" t="str">
            <v>4 (M)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GAM Forms"/>
      <sheetName val="Accepted for RMRP"/>
      <sheetName val="Argentina"/>
      <sheetName val="Chile"/>
      <sheetName val="Colombia"/>
      <sheetName val="Ecuador"/>
      <sheetName val="Panama"/>
      <sheetName val="Peru"/>
      <sheetName val="Uruguay"/>
    </sheetNames>
    <sheetDataSet>
      <sheetData sheetId="0"/>
      <sheetData sheetId="1"/>
      <sheetData sheetId="2"/>
      <sheetData sheetId="3"/>
      <sheetData sheetId="4"/>
      <sheetData sheetId="5">
        <row r="1">
          <cell r="T1" t="str">
            <v>DA_Action</v>
          </cell>
          <cell r="U1" t="str">
            <v>DA_Gender</v>
          </cell>
          <cell r="V1" t="str">
            <v>DA_Age</v>
          </cell>
          <cell r="W1" t="str">
            <v>DA_Text</v>
          </cell>
          <cell r="X1" t="str">
            <v>DA_Doc</v>
          </cell>
          <cell r="Y1" t="str">
            <v>D1_GEMA</v>
          </cell>
          <cell r="Z1" t="str">
            <v>DD_Action</v>
          </cell>
          <cell r="AA1" t="str">
            <v>DD_Gender</v>
          </cell>
          <cell r="AB1" t="str">
            <v>DD_Age</v>
          </cell>
          <cell r="AC1" t="str">
            <v>DD_Text</v>
          </cell>
          <cell r="AD1" t="str">
            <v>DD_Doc</v>
          </cell>
          <cell r="AE1" t="str">
            <v>D2_GEMD</v>
          </cell>
          <cell r="AF1" t="str">
            <v>DG_Action</v>
          </cell>
          <cell r="AG1" t="str">
            <v>DG_Gender</v>
          </cell>
          <cell r="AH1" t="str">
            <v>DG_Age</v>
          </cell>
          <cell r="AI1" t="str">
            <v>DG_Text</v>
          </cell>
          <cell r="AJ1" t="str">
            <v>DG_Doc</v>
          </cell>
          <cell r="AK1" t="str">
            <v>D3_GEMG</v>
          </cell>
          <cell r="AL1" t="str">
            <v>DJ_Action</v>
          </cell>
          <cell r="AM1" t="str">
            <v>DJ_Gender</v>
          </cell>
          <cell r="AN1" t="str">
            <v>DJ_Age</v>
          </cell>
          <cell r="AO1" t="str">
            <v>DJ_Text</v>
          </cell>
          <cell r="AP1" t="str">
            <v>DJ_Doc</v>
          </cell>
          <cell r="AQ1" t="str">
            <v>D4_GEMJ</v>
          </cell>
          <cell r="AR1" t="str">
            <v>D_GAM</v>
          </cell>
          <cell r="AS1" t="str">
            <v>D_Focus</v>
          </cell>
          <cell r="AT1" t="str">
            <v>MA_Action</v>
          </cell>
          <cell r="AU1" t="str">
            <v>MA_Gender</v>
          </cell>
          <cell r="AV1" t="str">
            <v>MA_Age</v>
          </cell>
          <cell r="AW1" t="str">
            <v>MA_Text</v>
          </cell>
          <cell r="AX1" t="str">
            <v>MA_Doc</v>
          </cell>
          <cell r="AY1" t="str">
            <v>M1_GEMA</v>
          </cell>
          <cell r="AZ1" t="str">
            <v>MB_Action</v>
          </cell>
          <cell r="BA1" t="str">
            <v>MB_Gender</v>
          </cell>
          <cell r="BB1" t="str">
            <v>MB_Age</v>
          </cell>
          <cell r="BC1" t="str">
            <v>M1_GEMB</v>
          </cell>
          <cell r="BD1" t="str">
            <v>MC_Action</v>
          </cell>
          <cell r="BE1" t="str">
            <v>MC_Gender</v>
          </cell>
          <cell r="BF1" t="str">
            <v>MC_Age</v>
          </cell>
          <cell r="BG1" t="str">
            <v>M1_GEMC</v>
          </cell>
          <cell r="BH1" t="str">
            <v>M1_GEM1</v>
          </cell>
          <cell r="BI1" t="str">
            <v>MD_Action</v>
          </cell>
          <cell r="BJ1" t="str">
            <v>MD_Gender</v>
          </cell>
          <cell r="BK1" t="str">
            <v>MD_Age</v>
          </cell>
          <cell r="BL1" t="str">
            <v>MD_Text</v>
          </cell>
          <cell r="BM1" t="str">
            <v>MD_Doc</v>
          </cell>
          <cell r="BN1" t="str">
            <v>M2_GEMD</v>
          </cell>
          <cell r="BO1" t="str">
            <v>ME_Action</v>
          </cell>
          <cell r="BP1" t="str">
            <v>ME_Gender</v>
          </cell>
          <cell r="BQ1" t="str">
            <v>ME_Age</v>
          </cell>
          <cell r="BR1" t="str">
            <v>M2_GEME</v>
          </cell>
          <cell r="BS1" t="str">
            <v>MF_Action</v>
          </cell>
          <cell r="BT1" t="str">
            <v>MF_GenderAge</v>
          </cell>
          <cell r="BU1" t="str">
            <v>M2_GEMF</v>
          </cell>
          <cell r="BV1" t="str">
            <v>M2_GEM2</v>
          </cell>
          <cell r="BW1" t="str">
            <v>MG_Action</v>
          </cell>
          <cell r="BX1" t="str">
            <v>MG_Gender</v>
          </cell>
          <cell r="BY1" t="str">
            <v>MG_Age</v>
          </cell>
          <cell r="BZ1" t="str">
            <v>MG_Text</v>
          </cell>
          <cell r="CA1" t="str">
            <v>MG_Doc</v>
          </cell>
          <cell r="CB1" t="str">
            <v>M3_GEMG</v>
          </cell>
          <cell r="CC1" t="str">
            <v>MH_Action</v>
          </cell>
          <cell r="CD1" t="str">
            <v>MH_Gender</v>
          </cell>
          <cell r="CE1" t="str">
            <v>MH_Age</v>
          </cell>
          <cell r="CF1" t="str">
            <v>M3_GEMH</v>
          </cell>
          <cell r="CG1" t="str">
            <v>MI_Action</v>
          </cell>
          <cell r="CH1" t="str">
            <v>MI_Gender</v>
          </cell>
          <cell r="CI1" t="str">
            <v>MI_Age</v>
          </cell>
          <cell r="CJ1" t="str">
            <v>M3_GEMI</v>
          </cell>
          <cell r="CK1" t="str">
            <v>M3_GEM3</v>
          </cell>
          <cell r="CL1" t="str">
            <v>MJ_Action</v>
          </cell>
          <cell r="CM1" t="str">
            <v>MJ_Gender</v>
          </cell>
          <cell r="CN1" t="str">
            <v>MJ_Age</v>
          </cell>
          <cell r="CO1" t="str">
            <v>MJ_Text</v>
          </cell>
          <cell r="CP1" t="str">
            <v>MJ_Doc</v>
          </cell>
          <cell r="CQ1" t="str">
            <v>M4_GEMJ</v>
          </cell>
          <cell r="CR1" t="str">
            <v>MK_Action</v>
          </cell>
          <cell r="CS1" t="str">
            <v>MK_Gender</v>
          </cell>
          <cell r="CT1" t="str">
            <v>MK_Age</v>
          </cell>
          <cell r="CU1" t="str">
            <v>MK_Text</v>
          </cell>
          <cell r="CV1" t="str">
            <v>MK_Doc</v>
          </cell>
          <cell r="CW1" t="str">
            <v>M4_GEMK</v>
          </cell>
          <cell r="CX1" t="str">
            <v>ML_Action</v>
          </cell>
          <cell r="CY1" t="str">
            <v>ML_Gender</v>
          </cell>
          <cell r="CZ1" t="str">
            <v>ML_Age</v>
          </cell>
          <cell r="DA1" t="str">
            <v>ML_Text</v>
          </cell>
          <cell r="DB1" t="str">
            <v>ML_Doc</v>
          </cell>
          <cell r="DC1" t="str">
            <v>M4_GEML</v>
          </cell>
          <cell r="DD1" t="str">
            <v>M4_GEM4</v>
          </cell>
          <cell r="DE1" t="str">
            <v>M_GAM</v>
          </cell>
          <cell r="DF1" t="str">
            <v>M_Focus</v>
          </cell>
          <cell r="DG1" t="str">
            <v>AP_ItemCount</v>
          </cell>
          <cell r="DH1" t="str">
            <v>GAM</v>
          </cell>
          <cell r="DI1" t="str">
            <v>GAM_Long</v>
          </cell>
          <cell r="DJ1" t="str">
            <v>_status</v>
          </cell>
          <cell r="DK1" t="str">
            <v>today</v>
          </cell>
          <cell r="DL1" t="str">
            <v>_submission_time</v>
          </cell>
          <cell r="DM1" t="str">
            <v>_id</v>
          </cell>
          <cell r="DN1" t="str">
            <v>_uuid</v>
          </cell>
          <cell r="DO1" t="str">
            <v>deviceid</v>
          </cell>
          <cell r="DP1" t="str">
            <v>__version__</v>
          </cell>
        </row>
        <row r="2">
          <cell r="T2" t="str">
            <v>0</v>
          </cell>
          <cell r="W2" t="str">
            <v>N/A</v>
          </cell>
          <cell r="X2" t="str">
            <v>N/A</v>
          </cell>
          <cell r="Y2" t="str">
            <v>0</v>
          </cell>
          <cell r="Z2" t="str">
            <v>0</v>
          </cell>
          <cell r="AE2" t="str">
            <v>0</v>
          </cell>
          <cell r="AF2" t="str">
            <v>0</v>
          </cell>
          <cell r="AK2" t="str">
            <v>0</v>
          </cell>
          <cell r="AL2" t="str">
            <v>0</v>
          </cell>
          <cell r="AQ2" t="str">
            <v>0</v>
          </cell>
          <cell r="AR2" t="str">
            <v>0</v>
          </cell>
          <cell r="AS2" t="str">
            <v>M</v>
          </cell>
          <cell r="DG2">
            <v>0</v>
          </cell>
          <cell r="DH2" t="str">
            <v>0M</v>
          </cell>
          <cell r="DI2" t="str">
            <v>0 (M)</v>
          </cell>
          <cell r="DJ2" t="str">
            <v>submitted_via_web</v>
          </cell>
          <cell r="DK2" t="str">
            <v>2019-09-25</v>
          </cell>
          <cell r="DL2" t="str">
            <v>2019-09-30T16:58:48</v>
          </cell>
          <cell r="DM2">
            <v>69676223</v>
          </cell>
          <cell r="DN2" t="str">
            <v>a1cfa2aa-1395-4fba-9e9e-b8609ffba4b2</v>
          </cell>
          <cell r="DO2" t="str">
            <v>ee.humanitarianresponse.info:wl06e5SxrFI3gUpg</v>
          </cell>
          <cell r="DP2" t="str">
            <v>vp86QYmujSsq9anoBGtGAw</v>
          </cell>
        </row>
        <row r="3">
          <cell r="T3" t="str">
            <v>0</v>
          </cell>
          <cell r="W3" t="str">
            <v>Unos de los aspectos que se han podido encontrar en el accionar diario y lo cual a permitido dar respuesta en procesos posteriores de intervención es la inclusión de información sobre el enfoque de género en cada uno de los puntos de movilidad humana, lo cual permitirá sensibilizar a la población en tránsito, permanencia y así también a la población acogiente, en temas de Violencia Basada en Genero (VBG), siendo uno de los problemas evidentes en realidades locales, lo cual también puede ser exponencialmente mayor por la densidad poblacional a causa del flujo migratorio, por las condiciones culturales, emocionales y los factores estresores que contiene la condición de movilidad.</v>
          </cell>
          <cell r="X3" t="str">
            <v>Diagnóstico general movilidad humana 2020</v>
          </cell>
          <cell r="Y3" t="str">
            <v>0</v>
          </cell>
          <cell r="Z3" t="str">
            <v>0</v>
          </cell>
          <cell r="AE3" t="str">
            <v>0</v>
          </cell>
          <cell r="AF3" t="str">
            <v>1 2 3</v>
          </cell>
          <cell r="AG3" t="str">
            <v>W G B M</v>
          </cell>
          <cell r="AH3" t="str">
            <v>CH AD MA</v>
          </cell>
          <cell r="AI3" t="str">
            <v>SE ha trabajado en base a las necesidades inmediatas de los grupos problaciones, para satisfacer dichas necesidades en el corto plazo. 
Existen servicios específicos que están enfocados a ciertos grupos de edad , como por ejemplo el kit lúdico que tiene por objeto atender las necesidades de niños y niñas.
De manera general, los kits que manejamos, (alimentos, higiene, etc) no son específicos ni excluyentes ya que se ha considerado las necesidades generales considerando la diversidad de contextos familiares.</v>
          </cell>
          <cell r="AJ3" t="str">
            <v>Encuesta de población movilidad humana</v>
          </cell>
          <cell r="AK3" t="str">
            <v>4</v>
          </cell>
          <cell r="AL3" t="str">
            <v>3 2</v>
          </cell>
          <cell r="AM3" t="str">
            <v>NS</v>
          </cell>
          <cell r="AN3" t="str">
            <v>SGP</v>
          </cell>
          <cell r="AO3" t="str">
            <v>La CRE realiza encuestas de satisfacción aleatorias a los beneficiarios del proyecto. Los resultados reflejan el grado de satisfacción frente a las atenciones realizadas y las asistencias (kits entregados).
Cada servicio y producto entregado es regsitrado en un formulario el cual se lo contabiliza diariamente. Esta información es subida al dashboard que se encuentra en la página web de CRE.</v>
          </cell>
          <cell r="AP3" t="str">
            <v>http://www.cruzroja.org.ec/dashboard-cre01/</v>
          </cell>
          <cell r="AQ3" t="str">
            <v>2</v>
          </cell>
          <cell r="AR3" t="str">
            <v>0</v>
          </cell>
          <cell r="AS3" t="str">
            <v>M</v>
          </cell>
          <cell r="DG3">
            <v>0</v>
          </cell>
          <cell r="DH3" t="str">
            <v>0M</v>
          </cell>
          <cell r="DI3" t="str">
            <v>0 (M)</v>
          </cell>
          <cell r="DJ3" t="str">
            <v>submitted_via_web</v>
          </cell>
          <cell r="DK3" t="str">
            <v>2019-09-29</v>
          </cell>
          <cell r="DL3" t="str">
            <v>2019-09-30T16:03:43</v>
          </cell>
          <cell r="DM3">
            <v>69670140</v>
          </cell>
          <cell r="DN3" t="str">
            <v>630981c6-96ae-421b-9cdf-1c7b3b417676</v>
          </cell>
          <cell r="DO3" t="str">
            <v>ee.humanitarianresponse.info:gj8FYUr9k8I2CSbU</v>
          </cell>
          <cell r="DP3" t="str">
            <v>vp86QYmujSsq9anoBGtGAw</v>
          </cell>
        </row>
        <row r="4">
          <cell r="T4" t="str">
            <v>0</v>
          </cell>
          <cell r="W4" t="str">
            <v>En fase de elaboración</v>
          </cell>
          <cell r="X4" t="str">
            <v>En fase de elaboración</v>
          </cell>
          <cell r="Y4" t="str">
            <v>0</v>
          </cell>
          <cell r="Z4" t="str">
            <v>0</v>
          </cell>
          <cell r="AE4" t="str">
            <v>0</v>
          </cell>
          <cell r="AF4" t="str">
            <v>1 2</v>
          </cell>
          <cell r="AG4" t="str">
            <v>W M</v>
          </cell>
          <cell r="AH4" t="str">
            <v>YA MA</v>
          </cell>
          <cell r="AI4" t="str">
            <v>Las actividades planteadas se orientan más a la incidencia en políticas públicas, estudios e inclusion del tema migratorio en las agendas de los mandantes de la OIT. Las actividades de asistencia técnica específica para emprendimientos están orientadas a la integración de los migrantes y refugiados Venezolanos en el mercado laboral, sin hacer distinción de género. La edad está focalizada en adultos jóvenes y de mediana edad (en edad de trabajar).</v>
          </cell>
          <cell r="AJ4" t="str">
            <v>Documento de proyecto RBSA EC</v>
          </cell>
          <cell r="AK4" t="str">
            <v>4</v>
          </cell>
          <cell r="AL4" t="str">
            <v>3 2</v>
          </cell>
          <cell r="AM4" t="str">
            <v>W M</v>
          </cell>
          <cell r="AN4" t="str">
            <v>YA MA</v>
          </cell>
          <cell r="AO4" t="str">
            <v>Número de emprendimientos juveniles implementados, desagregado por género del /la líder del emprendimiento.
Se determinará los beneficios mendiante un documento elaborado por cada emprendimiento y encuestas de satisfacción.</v>
          </cell>
          <cell r="AP4" t="str">
            <v>Plan de actividades del RBSA EC</v>
          </cell>
          <cell r="AQ4" t="str">
            <v>4</v>
          </cell>
          <cell r="AR4" t="str">
            <v>0</v>
          </cell>
          <cell r="AS4" t="str">
            <v>M</v>
          </cell>
          <cell r="DG4">
            <v>0</v>
          </cell>
          <cell r="DH4" t="str">
            <v>0M</v>
          </cell>
          <cell r="DI4" t="str">
            <v>0 (M)</v>
          </cell>
          <cell r="DJ4" t="str">
            <v>submitted_via_web</v>
          </cell>
          <cell r="DK4" t="str">
            <v>2019-09-24</v>
          </cell>
          <cell r="DL4" t="str">
            <v>2019-09-25T20:44:06</v>
          </cell>
          <cell r="DM4">
            <v>69193778</v>
          </cell>
          <cell r="DN4" t="str">
            <v>0ddb8c18-8d8b-4e30-9e27-466f169fa93d</v>
          </cell>
          <cell r="DO4" t="str">
            <v>ee.humanitarianresponse.info:rEJaxW9m8v9ivP3M</v>
          </cell>
          <cell r="DP4" t="str">
            <v>vfoR5HATuvHcK2Mb4RV9e4</v>
          </cell>
        </row>
        <row r="5">
          <cell r="T5" t="str">
            <v>1</v>
          </cell>
          <cell r="U5" t="str">
            <v>NS</v>
          </cell>
          <cell r="V5" t="str">
            <v>YC CH AD YA MA OA</v>
          </cell>
          <cell r="W5" t="str">
            <v>Se realizó un análisis nutricional de la población en general con base a informaciónd de estudios nacionales y validaciones en campo</v>
          </cell>
          <cell r="X5" t="str">
            <v>ENSANUT - Documento técnico Guías Alimentarias del Ecuador</v>
          </cell>
          <cell r="Y5" t="str">
            <v>2</v>
          </cell>
          <cell r="Z5" t="str">
            <v>1</v>
          </cell>
          <cell r="AA5" t="str">
            <v>EQA</v>
          </cell>
          <cell r="AB5" t="str">
            <v>YC CH AD YA MA OA</v>
          </cell>
          <cell r="AC5" t="str">
            <v>Es un trabajo de política pública con una cobertura para toda la población en el territorio ecuatoriano</v>
          </cell>
          <cell r="AD5" t="str">
            <v>ENSANUT - Guías Alimentarias del Ecuador - Estudios sobre Sistemas productivos ganaderos del proyecto GCI</v>
          </cell>
          <cell r="AE5" t="str">
            <v>2</v>
          </cell>
          <cell r="AF5" t="str">
            <v>2</v>
          </cell>
          <cell r="AG5" t="str">
            <v>W G B M</v>
          </cell>
          <cell r="AH5" t="str">
            <v>YC CH AD YA MA OA</v>
          </cell>
          <cell r="AI5" t="str">
            <v>Los proyectos vinculados a seguridad alimentaria tiene una cobertura de toda la población.
Los proyectos productivos tienen un enfoque en temas de ganadería diferenciando los roles de mujeres y hombre adultos</v>
          </cell>
          <cell r="AJ5" t="str">
            <v>Ganadería Climaticamente Inteligete, Guias Alimentarias, ENSANUT</v>
          </cell>
          <cell r="AK5" t="str">
            <v>4</v>
          </cell>
          <cell r="AL5" t="str">
            <v>2</v>
          </cell>
          <cell r="AM5" t="str">
            <v>W M</v>
          </cell>
          <cell r="AN5" t="str">
            <v>YC CH AD OA</v>
          </cell>
          <cell r="AO5" t="str">
            <v>Atención de programas específicos de acuerdo al grupo etario</v>
          </cell>
          <cell r="AP5" t="str">
            <v>Guías Alimentarias del Ecuador  ENSANUT</v>
          </cell>
          <cell r="AQ5" t="str">
            <v>4</v>
          </cell>
          <cell r="AR5" t="str">
            <v>2</v>
          </cell>
          <cell r="AS5" t="str">
            <v>M</v>
          </cell>
          <cell r="DG5">
            <v>0</v>
          </cell>
          <cell r="DH5" t="str">
            <v>2M</v>
          </cell>
          <cell r="DI5" t="str">
            <v>2 (M)</v>
          </cell>
          <cell r="DJ5" t="str">
            <v>submitted_via_web</v>
          </cell>
          <cell r="DK5" t="str">
            <v>2019-09-29</v>
          </cell>
          <cell r="DL5" t="str">
            <v>2019-10-01T00:02:53</v>
          </cell>
          <cell r="DM5">
            <v>69707465</v>
          </cell>
          <cell r="DN5" t="str">
            <v>149ccf2a-8f43-40be-942c-992cdfc2eed2</v>
          </cell>
          <cell r="DO5" t="str">
            <v>ee.humanitarianresponse.info:41TCDUUoUEVLt8pQ</v>
          </cell>
          <cell r="DP5" t="str">
            <v>vp86QYmujSsq9anoBGtGAw</v>
          </cell>
        </row>
        <row r="6">
          <cell r="T6" t="str">
            <v>2</v>
          </cell>
          <cell r="U6" t="str">
            <v>W G</v>
          </cell>
          <cell r="V6" t="str">
            <v>NS</v>
          </cell>
          <cell r="W6" t="str">
            <v>Estas adaptaciones buscan desarrollar al menos dos indicadores de género que consideren mejorar las relaciones y aumentar el conocimiento de los derechos humanos de las mujeres por parte de hombres y mujeres. Entre los indicadores se propone:
o	USO NO SEXISTA DEL LENGUAJE 
o	USO NO SEXISTA DE LAS IMÁGENES
o	ADOPCIÓN DE ACCIONES POSITIVAS
o	FOMENTO DE LA PARTICIPACIÓN Y REPRESENTACIÓN FEMENINA
o	FORMACIÓN EN GÉNERO</v>
          </cell>
          <cell r="X6" t="str">
            <v>INFORME_PRODUCTO 3</v>
          </cell>
          <cell r="Y6" t="str">
            <v>3</v>
          </cell>
          <cell r="Z6" t="str">
            <v>2</v>
          </cell>
          <cell r="AA6" t="str">
            <v>EQA</v>
          </cell>
          <cell r="AB6" t="str">
            <v>NS</v>
          </cell>
          <cell r="AC6" t="str">
            <v>Estas adaptaciones buscan desarrollar al menos dos indicadores de género que consideren mejorar las relaciones y aumentar el conocimiento de los derechos humanos de las mujeres por parte de hombres y mujeres. Entre los indicadores se propone:
o	USO NO SEXISTA DEL LENGUAJE 
o	USO NO SEXISTA DE LAS IMÁGENES
o	ADOPCIÓN DE ACCIONES POSITIVAS
o	FOMENTO DE LA PARTICIPACIÓN Y REPRESENTACIÓN FEMENINA
o	FORMACIÓN EN GÉNERO</v>
          </cell>
          <cell r="AD6" t="str">
            <v>INFORME_PRODUCTO 3</v>
          </cell>
          <cell r="AE6" t="str">
            <v>1</v>
          </cell>
          <cell r="AF6" t="str">
            <v>1</v>
          </cell>
          <cell r="AG6" t="str">
            <v>W M</v>
          </cell>
          <cell r="AH6" t="str">
            <v>NS</v>
          </cell>
          <cell r="AI6" t="str">
            <v>La población tiene influencia directa al proveer información que nos permite levantar una línea base de necesidades en base a temas de emprendimiento y desarrollo de medios de vida,lo que nos permite adaptar o modificar los diferentes programas y proyectos. Se excluye a las personas en extrema vulnerabilidad o con recién llegados al país, debido a que no somos una institución de acogida, sino una institución de desarrollo  y fortalecimiento de medios de vida. Trabajamos con población remitida por instituciones aliadas, que ya han pasado por un proceso de inserción social.</v>
          </cell>
          <cell r="AJ6" t="str">
            <v>INFORME_TERCER PRODUCTO</v>
          </cell>
          <cell r="AK6" t="str">
            <v>3</v>
          </cell>
          <cell r="AL6" t="str">
            <v>3 2</v>
          </cell>
          <cell r="AM6" t="str">
            <v>W M</v>
          </cell>
          <cell r="AN6" t="str">
            <v>AD YA MA OA</v>
          </cell>
          <cell r="AO6" t="str">
            <v>Empleabilidad: 
-Registro de asistencia a capacitaciones CEO para el Empleo
-# personas registradas en la plataforma Bolsa de empleo.
Emprendimiento:
-Registro de asistencia a programas de capacitación sobre emprendimiento.
-# de personas asistidas técnicamente sobre emprendimiento.
-Evidencia de producto o servicio generado.
Financiamiento:
-Registro de asistencia a programas de capacitación sobre financiamiento.
-# de personas asistidas técnicamente sobre financiamiento.
-# de personas canalizadas a créditos.
-# de personas que obtuvieron un crédito.</v>
          </cell>
          <cell r="AP6" t="str">
            <v>POA ConQuito (Plan Operativo Anual)</v>
          </cell>
          <cell r="AQ6" t="str">
            <v>4</v>
          </cell>
          <cell r="AR6" t="str">
            <v>3</v>
          </cell>
          <cell r="AS6" t="str">
            <v>M</v>
          </cell>
          <cell r="DG6">
            <v>0</v>
          </cell>
          <cell r="DH6" t="str">
            <v>3M</v>
          </cell>
          <cell r="DI6" t="str">
            <v>3 (M)</v>
          </cell>
          <cell r="DJ6" t="str">
            <v>submitted_via_web</v>
          </cell>
          <cell r="DK6" t="str">
            <v>2019-09-29</v>
          </cell>
          <cell r="DL6" t="str">
            <v>2019-09-30T22:54:21</v>
          </cell>
          <cell r="DM6">
            <v>69705673</v>
          </cell>
          <cell r="DN6" t="str">
            <v>0e35d27b-163b-4618-a204-c8b03a0255a6</v>
          </cell>
          <cell r="DO6" t="str">
            <v>ee.humanitarianresponse.info:gTyjFnyzdFTqfSGt</v>
          </cell>
          <cell r="DP6" t="str">
            <v>vp86QYmujSsq9anoBGtGAw</v>
          </cell>
        </row>
        <row r="7">
          <cell r="T7" t="str">
            <v>1</v>
          </cell>
          <cell r="U7" t="str">
            <v>W M</v>
          </cell>
          <cell r="V7" t="str">
            <v>YA MA</v>
          </cell>
          <cell r="W7" t="str">
            <v>La  igualdad  de  género  es  un  elemento  fundamental  de  la  labor  de  la  UNESCO y un pilar de la programación. La integración de la perspectiva de género es el proceso de evaluación de las consecuencias para  las  mujeres  y  los  hombres  de  cualquier  actividad planificada, inclusive las leyes, políticas o programas, en todos los sectores y a todos los niveles. Es una estrategia destinada a hacer que las preocupaciones y experiencias de las mujeres, así  como  de  los  hombres,  sean  un  elemento  integrante  de  la  elaboración,  la  aplicación,  la  supervisión  y  la  evaluación  de  las  políticas  y  los  programas  en  todas  las  esferas  políticas, económicas y sociales, a fin de que las mujeres y los hombres se beneficien por igual y se impida que se perpetúe la desigualdad.</v>
          </cell>
          <cell r="X7" t="str">
            <v>Plan de acción de la UNESCO  para la prioridad “Igualdad de género” (2014-2021)</v>
          </cell>
          <cell r="Y7" t="str">
            <v>4</v>
          </cell>
          <cell r="Z7" t="str">
            <v>0</v>
          </cell>
          <cell r="AE7" t="str">
            <v>0</v>
          </cell>
          <cell r="AF7" t="str">
            <v>1 2</v>
          </cell>
          <cell r="AG7" t="str">
            <v>W M D</v>
          </cell>
          <cell r="AH7" t="str">
            <v>YA MA</v>
          </cell>
          <cell r="AI7" t="str">
            <v>Para la instrumentalización del Acuerdo Ministerial 42.A. se harán talleres participativos de diagnostico y validación con funcionariado del Ministerio de Educación.
Y en la armonización de las metodologías de inclusión educativa utilizadas en Ecuador, se harán talleres participativos en diversas unidades educativas, para recoger el diagnostico de las mismas y poder hacer la validación posterior con una formación a docentes y funcionariado del Ministerio de Educación para su implementación.</v>
          </cell>
          <cell r="AJ7" t="str">
            <v>Submission_RMRP_2020_UNESCO_ECUADOR</v>
          </cell>
          <cell r="AK7" t="str">
            <v>4</v>
          </cell>
          <cell r="AL7" t="str">
            <v>2</v>
          </cell>
          <cell r="AM7" t="str">
            <v>W M</v>
          </cell>
          <cell r="AN7" t="str">
            <v>NS</v>
          </cell>
          <cell r="AO7" t="str">
            <v>Los indicadores cuantitativos están sujetos a el número de docentes y personal del Ministerio de Educación sensibilizado y/o formado. Dato que se segregará por sexo: mujer u hombre. En cuestión cualitativa se aportarán informes descriptivos en los que se incluirá los niveles de satisfacción de expectativas y necesidades, también segregado por sexo.</v>
          </cell>
          <cell r="AP7" t="str">
            <v>Submission_RMRP_2020_UNESCO_ECUADOR</v>
          </cell>
          <cell r="AQ7" t="str">
            <v>3</v>
          </cell>
          <cell r="AR7" t="str">
            <v>3</v>
          </cell>
          <cell r="AS7" t="str">
            <v>M</v>
          </cell>
          <cell r="DG7">
            <v>0</v>
          </cell>
          <cell r="DH7" t="str">
            <v>3M</v>
          </cell>
          <cell r="DI7" t="str">
            <v>3 (M)</v>
          </cell>
          <cell r="DJ7" t="str">
            <v>submitted_via_web</v>
          </cell>
          <cell r="DK7" t="str">
            <v>2019-09-24</v>
          </cell>
          <cell r="DL7" t="str">
            <v>2019-09-25T18:03:27</v>
          </cell>
          <cell r="DM7">
            <v>69180855</v>
          </cell>
          <cell r="DN7" t="str">
            <v>5697b9a8-55c0-4d76-912b-fd5474c7394c</v>
          </cell>
          <cell r="DO7" t="str">
            <v>ee.humanitarianresponse.info:19Alu0IH6vKHM0Ca</v>
          </cell>
          <cell r="DP7" t="str">
            <v>vfoR5HATuvHcK2Mb4RV9e4</v>
          </cell>
        </row>
        <row r="8">
          <cell r="T8" t="str">
            <v>0</v>
          </cell>
          <cell r="W8" t="str">
            <v>No existe un documento final con el análisis de necesidades, existe un borrador.</v>
          </cell>
          <cell r="X8" t="str">
            <v>Borrador no cargado.</v>
          </cell>
          <cell r="Y8" t="str">
            <v>0</v>
          </cell>
          <cell r="Z8" t="str">
            <v>2</v>
          </cell>
          <cell r="AA8" t="str">
            <v>W G B D</v>
          </cell>
          <cell r="AB8" t="str">
            <v>NS</v>
          </cell>
          <cell r="AC8" t="str">
            <v>Los proyectos de la fundación están enfocados en la defensa de derechos de las personas con mayores vulnerabilidades y tomando en cuenta la interseccionalidad.</v>
          </cell>
          <cell r="AD8" t="str">
            <v>No existe un documento en específico</v>
          </cell>
          <cell r="AE8" t="str">
            <v>3</v>
          </cell>
          <cell r="AF8" t="str">
            <v>3</v>
          </cell>
          <cell r="AG8" t="str">
            <v>W G B</v>
          </cell>
          <cell r="AH8" t="str">
            <v>NS</v>
          </cell>
          <cell r="AI8" t="str">
            <v>Todas las personas están incluidas, pero con principal énfasis en las personas en movilidad humana.</v>
          </cell>
          <cell r="AJ8" t="str">
            <v>No existe un documento en específico</v>
          </cell>
          <cell r="AK8" t="str">
            <v>3</v>
          </cell>
          <cell r="AL8" t="str">
            <v>3 2</v>
          </cell>
          <cell r="AM8" t="str">
            <v>W G B D</v>
          </cell>
          <cell r="AN8" t="str">
            <v>AD</v>
          </cell>
          <cell r="AO8" t="str">
            <v>Registro de productos o servicios entregados.</v>
          </cell>
          <cell r="AP8" t="str">
            <v>No existe un documento en específico</v>
          </cell>
          <cell r="AQ8" t="str">
            <v>4</v>
          </cell>
          <cell r="AR8" t="str">
            <v>3</v>
          </cell>
          <cell r="AS8" t="str">
            <v>M</v>
          </cell>
          <cell r="DG8">
            <v>0</v>
          </cell>
          <cell r="DH8" t="str">
            <v>3M</v>
          </cell>
          <cell r="DI8" t="str">
            <v>3 (M)</v>
          </cell>
          <cell r="DJ8" t="str">
            <v>submitted_via_web</v>
          </cell>
          <cell r="DK8" t="str">
            <v>2019-09-29</v>
          </cell>
          <cell r="DL8" t="str">
            <v>2019-10-01T01:39:50</v>
          </cell>
          <cell r="DM8">
            <v>69709266</v>
          </cell>
          <cell r="DN8" t="str">
            <v>50c827d0-1370-46e6-ba16-9a31b382ca63</v>
          </cell>
          <cell r="DO8" t="str">
            <v>ee.humanitarianresponse.info:Z11eA8hFqBXKSAID</v>
          </cell>
          <cell r="DP8" t="str">
            <v>vp86QYmujSsq9anoBGtGAw</v>
          </cell>
        </row>
        <row r="9">
          <cell r="T9" t="str">
            <v>1</v>
          </cell>
          <cell r="U9" t="str">
            <v>W G B M</v>
          </cell>
          <cell r="V9" t="str">
            <v>YC CH AD OA</v>
          </cell>
          <cell r="W9" t="str">
            <v>Identified the needs, roles, social norms, access to services and power relations of vulnerable groups accoridng to gender, age and cultural background. This inlcuded cases of pregnant adolescents, phhysical and psychological violence and GBV survivals, education drop-out and out-of-school. Then, identified UNICEF objectives and activities for 2020.</v>
          </cell>
          <cell r="X9" t="str">
            <v>UNICEF internal analysis</v>
          </cell>
          <cell r="Y9" t="str">
            <v>4</v>
          </cell>
          <cell r="Z9" t="str">
            <v>2</v>
          </cell>
          <cell r="AA9" t="str">
            <v>W G B M D</v>
          </cell>
          <cell r="AB9" t="str">
            <v>YC CH AD YA MA</v>
          </cell>
          <cell r="AC9" t="str">
            <v>Based on the gender analysis, UNICEF identified tailored activities to tackle pregnancy in adolescents, violence and GBV, positive masculinity, rights of education for adolescents mothers and fathers, and increase the capacity of service providers, especially in the health sector, to have specialized attention to adolescents.</v>
          </cell>
          <cell r="AD9" t="str">
            <v>UNICEF internal analysis</v>
          </cell>
          <cell r="AE9" t="str">
            <v>4</v>
          </cell>
          <cell r="AF9" t="str">
            <v>1 2 3</v>
          </cell>
          <cell r="AG9" t="str">
            <v>W G B M</v>
          </cell>
          <cell r="AH9" t="str">
            <v>YC CH AD YA MA</v>
          </cell>
          <cell r="AI9" t="str">
            <v>Based on the UNICEF repsonse at border points and delivered humanitarian assistance, UNICEF has conducted focal groups with venezuelan families on the move, especially mothers and children, but also men,  and received feedback on the planification and implementation of humanitarian programmes, which are being considered in the 2020 planification.</v>
          </cell>
          <cell r="AJ9" t="str">
            <v>UNICEF internal analysis</v>
          </cell>
          <cell r="AK9" t="str">
            <v>4</v>
          </cell>
          <cell r="AL9" t="str">
            <v>3</v>
          </cell>
          <cell r="AM9" t="str">
            <v>W G B</v>
          </cell>
          <cell r="AN9" t="str">
            <v>YC CH AD MA</v>
          </cell>
          <cell r="AO9" t="str">
            <v># children 6-59 months receiving micronutrient supplementation (M/F) 
# children 6-59 months receiving ready-to-use supplementary foods (RUSF) to prevent acute malnutrition (M/F)
# of women and girls provided with menstrual hygiene management services
# children, adolescent, and women accessing GBV risk mitigation, prevention or response interventions</v>
          </cell>
          <cell r="AP9" t="str">
            <v>HAC 2020</v>
          </cell>
          <cell r="AQ9" t="str">
            <v>4</v>
          </cell>
          <cell r="AR9" t="str">
            <v>4</v>
          </cell>
          <cell r="AS9" t="str">
            <v>M</v>
          </cell>
          <cell r="DG9">
            <v>0</v>
          </cell>
          <cell r="DH9" t="str">
            <v>4M</v>
          </cell>
          <cell r="DI9" t="str">
            <v>4 (M)</v>
          </cell>
          <cell r="DJ9" t="str">
            <v>submitted_via_web</v>
          </cell>
          <cell r="DK9" t="str">
            <v>2019-09-26</v>
          </cell>
          <cell r="DL9" t="str">
            <v>2019-09-27T18:47:32</v>
          </cell>
          <cell r="DM9">
            <v>69406506</v>
          </cell>
          <cell r="DN9" t="str">
            <v>4d278d25-a8c4-46b0-b7bd-59d53118aab0</v>
          </cell>
          <cell r="DO9" t="str">
            <v>ee.humanitarianresponse.info:ufloqq0oW42Ortdd</v>
          </cell>
          <cell r="DP9" t="str">
            <v>vp86QYmujSsq9anoBGtGAw</v>
          </cell>
        </row>
        <row r="10">
          <cell r="T10" t="str">
            <v>2</v>
          </cell>
          <cell r="U10" t="str">
            <v>W G B M D</v>
          </cell>
          <cell r="V10" t="str">
            <v>CH AD YA MA OA</v>
          </cell>
          <cell r="W10" t="str">
            <v>En contextos de situaciones humanitarias, las desigualdades de género preexistentes pueden empeorar junto con el riesgo de sufrir VBG, estigma y discriminación; dificultades de acceso seguro a la asistencia humanitaria y aún las probabilidades de supervivencia. 
Los roles de género asignados a las mujeres como el de cuidadoras, el menor control legal y efectivo sobre los recursos, las relaciones de poder desiguales, entre otros, hacen que durante las situaciones de desastre las mujeres y niñas asuman mayores responsabilidades en el trabajo doméstico, agricultura, producción de alimentos y el cuidado de la familia.  
Los impactos de las emergencias por desastres de origen naturales y movilidad humana no son neutrales, afectan de manera diferenciada a mujeres y hombres y también tienen consecuencias más severas según la situación económica, etnicidad, edad, discapacidades, orientación sexual e identidad de género, situación de movilidad humana, si es en una zona urbana o rural.  
Sin embargo, a pesar de las vulnerabilidades  señaladas, es necesario reconocer que también tienen grandes potencialidades y capacidades de resiliencia, lo que les da una actoría fundamental para la preparación, respuesta y recuperación frente a desastres.</v>
          </cell>
          <cell r="X10" t="str">
            <v>Manual de VBG en Emergencias - UNFPA/SNGRE- 2017-2018. Directrices para la integración de las intervenciones contra la violencia de género en la acción humanitaria-IASC 2015</v>
          </cell>
          <cell r="Y10" t="str">
            <v>4</v>
          </cell>
          <cell r="Z10" t="str">
            <v>2</v>
          </cell>
          <cell r="AA10" t="str">
            <v>W G B M D</v>
          </cell>
          <cell r="AB10" t="str">
            <v>CH AD YA MA OA</v>
          </cell>
          <cell r="AC10" t="str">
            <v>Las concepciones androcéntricas y patriarcales, aumentan el riesgo de VBG a mujeres, niñas, niños y adolescentes, lesbianas, gays bisexuales, transexuales, transgénero e intersexuales, adultas mayores, personas con discapacidad, personas en situación de movilidad humana desconociéndolas como sujetas de derechos; lo cual puede agravarse durante las crisis humanitarias debido a la inestabilidad, la ruptura de institucionalidad y de mecanismos de protección, a:
1.	Mujeres: mujeres y hombres están expuestos a la violencia, pero las relaciones inequitativas de poder y las concepciones estereotipadas de género, hacen que mujeres de todas las edades, sean las principales víctimas de VBG, especialmente violencia sexual y trata de personas. Durante las situaciones de emergencia, los riesgos de sufrir VBG se incrementan para las mujeres, por encontrarse más expuestas debido a la asignación de las labores de cuidado de sus familiares, la búsqueda de bienes o servicios para ella o su grupo familiar, hallarse solas por la pérdida o disgregación de su familia.  
2.	Personas lesbianas, gays bisexuales, transexuales, transgénero e intersexuales (LGBTTI): la transgresión de los roles de género establecidos, desde la heteronormatividad, hacen que tengan mayor riesgo de sufrir discriminación y agresiones dentro de la familia, comunidad y por quienes brindan apoyo en una emergencia (autoridades policiales y judiciales especialmente).
3.	Personas en situación de movilidad humana: por encontrase fuera de su circunscripción territorial, ya  sea  al interior del mismo país, como en el caso de desplazados a alojamientos temporales por un desastre, o en un país extranjero, como refugiados quienes en muchos casos están solos, desconocen el idioma, no portan documentos de identificación personales, ni dinero, lo que hace que aumente el riesgo de ser víctimas de homicidios, secuestros, desapariciones, violencia sexual, trata de personas, tráfico de migrantes, discriminación, detenciones arb</v>
          </cell>
          <cell r="AD10" t="str">
            <v>Manual: Género en la acción humanitaria. SNGRE-UNFPA 2017-2018. Actualización 2019.</v>
          </cell>
          <cell r="AE10" t="str">
            <v>4</v>
          </cell>
          <cell r="AF10" t="str">
            <v>1 2 3 4</v>
          </cell>
          <cell r="AG10" t="str">
            <v>W G B M D</v>
          </cell>
          <cell r="AH10" t="str">
            <v>CH AD YA MA OA</v>
          </cell>
          <cell r="AI10" t="str">
            <v>1.	Mujeres: mujeres y hombres están expuestos a la violencia, pero las relaciones inequitativas de poder y las concepciones estereotipadas de género, hacen que mujeres de todas las edades, sean las principales víctimas de VBG, especialmente violencia sexual y trata de personas. Durante las situaciones de emergencia, los riesgos de sufrir VBG se incrementan para las mujeres, por encontrarse más expuestas debido a la asignación de las labores de cuidado de sus familiares, la búsqueda de bienes o servicios para ella o su grupo familiar, hallarse solas por la pérdida o disgregación de su familia.  
2.	Personas lesbianas, gays bisexuales, transexuales, transgénero e intersexuales (LGBTTI): la transgresión de los roles de género establecidos, desde la heteronormatividad, hacen que tengan mayor riesgo de sufrir discriminación y agresiones dentro de la familia, comunidad y por quienes brindan apoyo en una emergencia (autoridades policiales y judiciales especialmente).
3.	Personas en situación de movilidad humana: por encontrase fuera de su circunscripción territorial, ya  sea  al interior del mismo país, como en el caso de desplazados a alojamientos temporales por un desastre, o en un país extranjero, como refugiados quienes en muchos casos están solos, desconocen el idioma, no portan documentos de identificación personales, ni dinero, lo que hace que aumente el riesgo de ser víctimas de homicidios, secuestros, desapariciones, violencia sexual, trata de personas, tráfico de migrantes, discriminación, detenciones arbitrarias, entre otros.</v>
          </cell>
          <cell r="AJ10" t="str">
            <v>Manual: Género en la acción humanitaria. SNGRE-UNFPA-2019</v>
          </cell>
          <cell r="AK10" t="str">
            <v>4</v>
          </cell>
          <cell r="AL10" t="str">
            <v>3 2</v>
          </cell>
          <cell r="AM10" t="str">
            <v>W G B M D</v>
          </cell>
          <cell r="AN10" t="str">
            <v>CH AD YA MA OA</v>
          </cell>
          <cell r="AO10" t="str">
            <v># de personas (M,H,NNAs) asistidas con entrega de kits VBG  
Previa jornada de sensibilización, entrega de Kit de Dignidad, cuidado intimo y prevención de la violencia que incluye: insumos de higuiene femenina, silvato, linterna y candado. Material informativo de prevención y atención de la VBG. Al azar se realizar encuesta de percepción
# de personas (M,H, NNA) beneficiando de servicios psicosociales. 
Gestión de casos en violencia basada en género (VBG) en situaciones humanitarias para proveer apoyo a una víctimas sobreviviente de VBG, asegurando que esté informada de todas sus opciones, acciones legales y mecanismos de protección, a los cuales se les dé seguimiento de una manera coordinada.</v>
          </cell>
          <cell r="AP10" t="str">
            <v>RMRP 2020</v>
          </cell>
          <cell r="AQ10" t="str">
            <v>4</v>
          </cell>
          <cell r="AR10" t="str">
            <v>4</v>
          </cell>
          <cell r="AS10" t="str">
            <v>M</v>
          </cell>
          <cell r="DG10">
            <v>0</v>
          </cell>
          <cell r="DH10" t="str">
            <v>4M</v>
          </cell>
          <cell r="DI10" t="str">
            <v>4 (M)</v>
          </cell>
          <cell r="DJ10" t="str">
            <v>submitted_via_web</v>
          </cell>
          <cell r="DK10" t="str">
            <v>2019-09-28</v>
          </cell>
          <cell r="DL10" t="str">
            <v>2019-09-29T17:11:07</v>
          </cell>
          <cell r="DM10">
            <v>69558808</v>
          </cell>
          <cell r="DN10" t="str">
            <v>5db168c3-aa71-477e-8eb4-e6108e6611a0</v>
          </cell>
          <cell r="DO10" t="str">
            <v>ee.humanitarianresponse.info:qw9HdMMgdO0XMTJv</v>
          </cell>
          <cell r="DP10" t="str">
            <v>vp86QYmujSsq9anoBGtGAw</v>
          </cell>
        </row>
        <row r="11">
          <cell r="T11" t="str">
            <v>0</v>
          </cell>
          <cell r="W11" t="str">
            <v>No tenemos considerado dentro de la formulacion del proyecto una intervencion con enfasis en genero, sin embargo en las capacitaciones y actividades del proyecto se velara que la participacion de docentes mujeres sea igualitaria.</v>
          </cell>
          <cell r="X11" t="str">
            <v>Proyecto de Educacion en DDHH y Movilidad Humana</v>
          </cell>
          <cell r="Y11" t="str">
            <v>0</v>
          </cell>
          <cell r="Z11" t="str">
            <v>1</v>
          </cell>
          <cell r="AA11" t="str">
            <v>W M</v>
          </cell>
          <cell r="AB11" t="str">
            <v>MA</v>
          </cell>
          <cell r="AC11" t="str">
            <v>El Mineduc y la Defensoria del Pueblo seleccionaran de los docentes del magisterio aquellos que cumplan con el perfil para la formacion.</v>
          </cell>
          <cell r="AD11" t="str">
            <v>Proyecto de Educacion en DDHH y Movilidad Humana</v>
          </cell>
          <cell r="AE11" t="str">
            <v>4</v>
          </cell>
          <cell r="AF11" t="str">
            <v>1 2</v>
          </cell>
          <cell r="AG11" t="str">
            <v>W M</v>
          </cell>
          <cell r="AH11" t="str">
            <v>MA</v>
          </cell>
          <cell r="AI11" t="str">
            <v>La intervencion se realiza mas con personas de acogida (Sistema Educativo). La poblacion migrante es un beneficiario indirecto.</v>
          </cell>
          <cell r="AJ11" t="str">
            <v>Educacion en DDHH y Movilidad Humana</v>
          </cell>
          <cell r="AK11" t="str">
            <v>4</v>
          </cell>
          <cell r="AL11" t="str">
            <v>3 2</v>
          </cell>
          <cell r="AM11" t="str">
            <v>W M</v>
          </cell>
          <cell r="AN11" t="str">
            <v>MA</v>
          </cell>
          <cell r="AO11" t="str">
            <v>Se procura que en las capacitaciones y las actividades del proyecto los docentes y funcionarios publicos participen en igualdad de condiciones</v>
          </cell>
          <cell r="AP11" t="str">
            <v>Proyecto Educacion en DDHH y Movilidad Humana</v>
          </cell>
          <cell r="AQ11" t="str">
            <v>4</v>
          </cell>
          <cell r="AR11" t="str">
            <v>4</v>
          </cell>
          <cell r="AS11" t="str">
            <v>M</v>
          </cell>
          <cell r="DG11">
            <v>0</v>
          </cell>
          <cell r="DH11" t="str">
            <v>4M</v>
          </cell>
          <cell r="DI11" t="str">
            <v>4 (M)</v>
          </cell>
          <cell r="DJ11" t="str">
            <v>submitted_via_web</v>
          </cell>
          <cell r="DK11" t="str">
            <v>2019-09-23</v>
          </cell>
          <cell r="DL11" t="str">
            <v>2019-09-24T17:24:31</v>
          </cell>
          <cell r="DM11">
            <v>69044364</v>
          </cell>
          <cell r="DN11" t="str">
            <v>e965ca98-6179-4489-baf9-9730d40a9cf7</v>
          </cell>
          <cell r="DO11" t="str">
            <v>ee.humanitarianresponse.info:UdtftYtckK6rgtwg</v>
          </cell>
          <cell r="DP11" t="str">
            <v>vfoR5HATuvHcK2Mb4RV9e4</v>
          </cell>
        </row>
        <row r="12">
          <cell r="T12" t="str">
            <v>0</v>
          </cell>
          <cell r="W12" t="str">
            <v>No aplica</v>
          </cell>
          <cell r="X12" t="str">
            <v>No aplica</v>
          </cell>
          <cell r="Y12" t="str">
            <v>0</v>
          </cell>
          <cell r="Z12" t="str">
            <v>1</v>
          </cell>
          <cell r="AA12" t="str">
            <v>W G B M</v>
          </cell>
          <cell r="AB12" t="str">
            <v>CH AD YA MA OA</v>
          </cell>
          <cell r="AC12" t="str">
            <v>Trabajo con NNA y comunidades para erradicar la discriminación y xenofobia en contextos de movilidad humana.</v>
          </cell>
          <cell r="AD12" t="str">
            <v>No aplica</v>
          </cell>
          <cell r="AE12" t="str">
            <v>4</v>
          </cell>
          <cell r="AF12" t="str">
            <v>3 4</v>
          </cell>
          <cell r="AG12" t="str">
            <v>W M</v>
          </cell>
          <cell r="AH12" t="str">
            <v>YA MA</v>
          </cell>
          <cell r="AI12" t="str">
            <v>Federaciones de base comunitaria, conformadas para la protección de NNA. En su mayoría, las federaciones están conformadas por madres líderes comunitarias.</v>
          </cell>
          <cell r="AJ12" t="str">
            <v>No aplica</v>
          </cell>
          <cell r="AK12" t="str">
            <v>4</v>
          </cell>
          <cell r="AL12" t="str">
            <v>2</v>
          </cell>
          <cell r="AM12" t="str">
            <v>W G B M</v>
          </cell>
          <cell r="AN12" t="str">
            <v>CH AD YA MA OA</v>
          </cell>
          <cell r="AO12" t="str">
            <v># de personas (NNA, H/M, refugiados y migrantes, comunidad de acogida) participantes en procesos educativos no formales para la mediación de conflicto
# de campañas/acciones de prevención VBG
# líderes comunitarios / estructuras comunitarias fortalecidas</v>
          </cell>
          <cell r="AP12" t="str">
            <v>No Aplica</v>
          </cell>
          <cell r="AQ12" t="str">
            <v>4</v>
          </cell>
          <cell r="AR12" t="str">
            <v>4</v>
          </cell>
          <cell r="AS12" t="str">
            <v>M</v>
          </cell>
          <cell r="DG12">
            <v>0</v>
          </cell>
          <cell r="DH12" t="str">
            <v>4M</v>
          </cell>
          <cell r="DI12" t="str">
            <v>4 (M)</v>
          </cell>
          <cell r="DJ12" t="str">
            <v>submitted_via_web</v>
          </cell>
          <cell r="DK12" t="str">
            <v>2019-09-29</v>
          </cell>
          <cell r="DL12" t="str">
            <v>2019-09-30T18:07:49</v>
          </cell>
          <cell r="DM12">
            <v>69684845</v>
          </cell>
          <cell r="DN12" t="str">
            <v>824ff1c3-6ee5-4c74-92d7-dd032561c9bc</v>
          </cell>
          <cell r="DO12" t="str">
            <v>ee.humanitarianresponse.info:cPuK0h5yQKhJsVgr</v>
          </cell>
          <cell r="DP12" t="str">
            <v>vp86QYmujSsq9anoBGtGAw</v>
          </cell>
        </row>
        <row r="13">
          <cell r="T13" t="str">
            <v>2</v>
          </cell>
          <cell r="U13" t="str">
            <v>W G B M D</v>
          </cell>
          <cell r="V13" t="str">
            <v>YC CH AD YA MA OA</v>
          </cell>
          <cell r="W13" t="str">
            <v>Displacement impacts men, women, boys and girls differently, a fact that HIAS considers in program design and implementation. While migration contributes to psychological distress, gendered norms impact how distress may manifest. Forced migration transforms existing gender dynamics, expose women and girls to more vulnerabilities and alters socially-assigned roles. Opportunities for men, women, boys and girls to learn coping strategies are a key part of HIAS’ work in Ecuador and Latin America. Women have noted that they face daily threats of sexual exploitation and harassment. Consultations with LGBTQ migrants demonstrate a need for strengthened specialized training for service providers and specifically-tailored risk-reduction activities to meet their needs. HIAS uses age, gender, and diversity mainstreaming to ensure vulnerable groups can exercise their human rights. Using the Gender and Age Marker and the IASC Guidelines, HIAS works with public officials and institutions to support vulnerable groups through a gender-sensitive approach to project implementation.</v>
          </cell>
          <cell r="X13" t="str">
            <v>HIAS’ internal guidelines on gender.</v>
          </cell>
          <cell r="Y13" t="str">
            <v>4</v>
          </cell>
          <cell r="Z13" t="str">
            <v>2</v>
          </cell>
          <cell r="AA13" t="str">
            <v>W G B M D</v>
          </cell>
          <cell r="AB13" t="str">
            <v>YC CH AD YA MA OA</v>
          </cell>
          <cell r="AC13" t="str">
            <v>HIAS invites key community members to engage in project activity implementation, creating a link to the community and ensuring that persons of concern can access services. HIAS ensures that beneficiary consultations and focus groups are disaggregated by gender and age and are inclusive of vulnerable populations, including women at risk, youth, LGBTQ persons, persons with disabilities, GBV survivors, and individuals whose basic needs are not met. HIAS also conducts individual interviews to identify the person’s specific needs, upon which HIAS provides assistance. HIAS staff integrate beneficiary feedback by adjusting activities as appropriate in the current program cycle and considering beneficiary recommendations for future programming. HIAS uses age, gender, and diversity mainstreaming to ensure men, women, girls, and boys can exercise their human rights. Using the Gender and Age Marker and the IASC Guidelines, HIAS works with public officials and institutions to support refugees through a gender-sensitive approach to project implementation.</v>
          </cell>
          <cell r="AD13" t="str">
            <v>HIAS’ internal guidelines on gender.</v>
          </cell>
          <cell r="AE13" t="str">
            <v>4</v>
          </cell>
          <cell r="AF13" t="str">
            <v>1 2 3 4</v>
          </cell>
          <cell r="AG13" t="str">
            <v>W G B M D</v>
          </cell>
          <cell r="AH13" t="str">
            <v>YC CH AD YA MA OA</v>
          </cell>
          <cell r="AI13" t="str">
            <v>HIAS maintains a comprehensive Accountability to Affected Populations Framework to ensure that beneficiaries are included in project development, implementation, and assessment. The key pillars of the framework are communication and transparency; feedback and response; participation and inclusion; and learning and adaptation. HIAS regularly invites beneficiaries to participate in project design, success measurement and close-out, ensuring that program information is clearly communicated to beneficiaries and that beneficiary feedback informs HIAS’ program design and activities. This includes the distribution of information that explain beneficiary rights and feedback channels. Consultations with beneficiaries are conducted via focus groups in each project location, where HIAS also meets with key community leaders, who share information about HIAS with their communities. HIAS has designed methodologies to ensure participation of vulnerable groups. Thus, reducing the risk of excluding people of concern and allowing for the identification of their needs and priorities.</v>
          </cell>
          <cell r="AJ13" t="str">
            <v>HIAS’ Accountability to Affected Populations Framework</v>
          </cell>
          <cell r="AK13" t="str">
            <v>4</v>
          </cell>
          <cell r="AL13" t="str">
            <v>3 2</v>
          </cell>
          <cell r="AM13" t="str">
            <v>W G B M D</v>
          </cell>
          <cell r="AN13" t="str">
            <v>YC CH AD YA MA OA</v>
          </cell>
          <cell r="AO13" t="str">
            <v>Specific indicators have been designed to target vulnerable women who have been survivors of GBV so that they can develop sustainable and dignified livelihoods. HIAS monitors both program progress and performance on an ongoing basis in order to track results and make alignments as necessary. HIAS program staff are assigned roles and responsibilities for monitoring and evaluating benefits. HIAS collects activity and beneficiary data at each project site to track service delivery against targets, which is later compiled for reports of program activity and progress. Monitoring takes place at all levels to verify that activities are implemented as planned and data is correctly collected and reported. Visits also assess operations and program performance, including staff capacity and effectiveness, beneficiary interviews and feedback, case file reviews, data quality assessments, and performance measure verification. HIAS provides quality consistent monitoring to support the delivery of high-quality programming. Concerns are timely-addressed and followed-up.</v>
          </cell>
          <cell r="AP13" t="str">
            <v>HIAS’ internal guidelines on monitoring and evaluation.</v>
          </cell>
          <cell r="AQ13" t="str">
            <v>4</v>
          </cell>
          <cell r="AR13" t="str">
            <v>4</v>
          </cell>
          <cell r="AS13" t="str">
            <v>M</v>
          </cell>
          <cell r="DG13">
            <v>0</v>
          </cell>
          <cell r="DH13" t="str">
            <v>4M</v>
          </cell>
          <cell r="DI13" t="str">
            <v>4 (M)</v>
          </cell>
          <cell r="DJ13" t="str">
            <v>submitted_via_web</v>
          </cell>
          <cell r="DK13" t="str">
            <v>2019-09-26</v>
          </cell>
          <cell r="DL13" t="str">
            <v>2019-09-27T16:52:05</v>
          </cell>
          <cell r="DM13">
            <v>69396215</v>
          </cell>
          <cell r="DN13" t="str">
            <v>65b1f135-8971-4002-9b52-802ed84f1725</v>
          </cell>
          <cell r="DO13" t="str">
            <v>ee.humanitarianresponse.info:Bbc43OmbiPxAiRYy</v>
          </cell>
          <cell r="DP13" t="str">
            <v>vp86QYmujSsq9anoBGtGAw</v>
          </cell>
        </row>
        <row r="14">
          <cell r="T14" t="str">
            <v>2</v>
          </cell>
          <cell r="U14" t="str">
            <v>W G B M</v>
          </cell>
          <cell r="V14" t="str">
            <v>CH YA MA OA</v>
          </cell>
          <cell r="W14" t="str">
            <v>NRC desarrolla sus programas a partir de un enfoque de interseccionalidad que incluye categorías como género, edad, origen étnico, diversidad sexo-genérica, nacionalidad, entre otras. NRC encamina su trabajo en dos aspectos, uno relacionado con las necesidades de la población y su protección integral, y el otro, relacionado con el nivel de vulnerabilidad de las personas, entendiendo que todas las categorías son variables determinantes para la atención a la población de la forma más apropiada.
Las mujeres, niñas, niños y adolescentes, jóvenes, adultos/as, las personas de la tercera edad, sexo diversas, las personas discapacidad y de otras minorías son grupos centrales de las intervenciones en las diferentes áreas desarrolladas por NRC, entendiendo que los integran personas con doble, triple o más vulnerabilidad y, por lo tanto, ameritan una intervención priorizada, especializada e integral. Para esto, el NRC realiza procesos de identificación y evaluación de necesidades y vulnerabilidades que guíen la respuesta.</v>
          </cell>
          <cell r="X14" t="str">
            <v>Proyectos para la atención y respuesta a la población venezolana refugiada y migrante vulnerable en Ecuador</v>
          </cell>
          <cell r="Y14" t="str">
            <v>4</v>
          </cell>
          <cell r="Z14" t="str">
            <v>1</v>
          </cell>
          <cell r="AA14" t="str">
            <v>W G B M D</v>
          </cell>
          <cell r="AB14" t="str">
            <v>CH AD YA MA OA</v>
          </cell>
          <cell r="AC14" t="str">
            <v>Hay intervenciones/actividades que están centradas particularmente en grupos prioritarios, tal es el caso de servicios brindados para promover la educación de niños, niños y adolescentes, y los servicios de alojamiento que benefician principalmente a mujeres, niños, niñas y adolescentes y personas de la tercera edad. 
Los servicios que se ofrecen a la población beneficiaria en general (servicios legales, agua y saneamiento, entrega de kits, otras) se desarrollan con un enfoque de género, edad y diversidad, y por lo tanto, se implementan procedimientos/protocolos que permiten priorizar y de atender de forma diferenciada/particularizada a los grupos prioritarios, considerando sus necesidades integrales.</v>
          </cell>
          <cell r="AD14" t="str">
            <v>Proyectos para la respuesta a la poblacion venezolana refugiada y migrante vulnerable n Ecuador</v>
          </cell>
          <cell r="AE14" t="str">
            <v>4</v>
          </cell>
          <cell r="AF14" t="str">
            <v>1 2 3 4</v>
          </cell>
          <cell r="AG14" t="str">
            <v>W G B M</v>
          </cell>
          <cell r="AH14" t="str">
            <v>CH AD YA MA OA</v>
          </cell>
          <cell r="AI14" t="str">
            <v>NRC elabora, diseña, implementa y evalúa los proyectos que ejecuta integrando la retroalimentación de la población beneficiaria, otras organizaciones, el Estado, el personal de NRC y otros actores de interés. 
Las actividades que se proponen para el 2020 surgen de las necesidades expresadas por la población beneficiaria, por la observación de las mismas por parte de NRC y de otras organizaciones, y de la recolección de datos. 
La retroalimentación recibida por parte de la población beneficiara integra niños, niñas y adolescentes, personas adultas y de la tercera edad. Incluye aportes de personas sexo diversas y con discapacidad, sin embargo, en un número menos representativo que el resto.</v>
          </cell>
          <cell r="AJ14" t="str">
            <v>Proyectos para la respuesta a la población venezolana refugiada y migrante vulnerable en Ecuador</v>
          </cell>
          <cell r="AK14" t="str">
            <v>4</v>
          </cell>
          <cell r="AL14" t="str">
            <v>3 2</v>
          </cell>
          <cell r="AM14" t="str">
            <v>W G B M</v>
          </cell>
          <cell r="AN14" t="str">
            <v>CH AD MA OA</v>
          </cell>
          <cell r="AO14" t="str">
            <v>NRC tiene diversos indicadores para medir las actividades y sus resultados e impacto. Se comparten algunos ejemplos:  
% de personas que obtienen el estatus de refugiado
-Número de personas que reciben servicios de información, orientación y asistencia legal para acceder al procedimiento RSD u otras formas de regularización migratoria, describir por sexo 
% de niños, niñas y adolescentes que ejercen el derecho a la educación 
-Número de niños, niñas y adolescentes que reciben efectivo restringido para acceder a educación, describir por sexo
% de mujeres y niñas que se sienten seguras al utilizar las baterías sanitarias 
N. de personas que utilizan las baterías sanitarias 
NRC utiliza herramientas diversas para medir las actividades que ejecuta de acuerdo a su tipo y tema, entre ellas se encuentran: 
-Registro de servicios entregados (servicios legales, capacitación a funcionarios/as)
-Registro de  productos entregados (kits, equipos para fortalecimiento institucional)
-Acuerdos/convenios/cartas de entendimiento para sustentar la dotación, donación y apoyo a instituciones del estado u otras no gubernamentales
-Instrumentos pre test y post test, encuestas de satisfacción o percepción
-Lista de chequeo de resultados/esperados
-Encuestas post distribución de efectivo o productos 
-Otras que se consideren apropiadas de acuerdo a la actividad</v>
          </cell>
          <cell r="AP14" t="str">
            <v>Proyectos para la respuesta a la población venezolana refugiada y migrante vulnerable en Ecuador</v>
          </cell>
          <cell r="AQ14" t="str">
            <v>4</v>
          </cell>
          <cell r="AR14" t="str">
            <v>4</v>
          </cell>
          <cell r="AS14" t="str">
            <v>M</v>
          </cell>
          <cell r="DG14">
            <v>0</v>
          </cell>
          <cell r="DH14" t="str">
            <v>4M</v>
          </cell>
          <cell r="DI14" t="str">
            <v>4 (M)</v>
          </cell>
          <cell r="DJ14" t="str">
            <v>submitted_via_web</v>
          </cell>
          <cell r="DK14" t="str">
            <v>2019-09-28</v>
          </cell>
          <cell r="DL14" t="str">
            <v>2019-09-29T20:54:36</v>
          </cell>
          <cell r="DM14">
            <v>69570677</v>
          </cell>
          <cell r="DN14" t="str">
            <v>f6be0ebf-c864-4396-b466-46f856763fc4</v>
          </cell>
          <cell r="DO14" t="str">
            <v>ee.humanitarianresponse.info:5deL1BIBkWlRirjj</v>
          </cell>
          <cell r="DP14" t="str">
            <v>vp86QYmujSsq9anoBGtGAw</v>
          </cell>
        </row>
        <row r="15">
          <cell r="T15" t="str">
            <v>2</v>
          </cell>
          <cell r="U15" t="str">
            <v>W G B M D</v>
          </cell>
          <cell r="V15" t="str">
            <v>CH AD YA MA OA</v>
          </cell>
          <cell r="W15" t="str">
            <v>Limited access to asylum systems and migratory pathways has represented a major challenge for Venezuelan refugees and migrants in Ecuador. This situation has increased the risks of exploitation and abuse, especially towards women, girls, boys and members of the LGBTI+ population. The situation becomes even more challenging due to the very limited livelihoods opportunities available in the country, forcing many to resort to negative coping mechanisms that may include survivor sex, child labor and work under unsafe and unhealthy conditions (illegal mining, plantations). Priority needs are related to the prevention and response to SGBV and access to SHRH with special focus on women, girls and members of the LGBTI+ community; identification and referral of UASC as higher number of children travels across the region to reunite with their families; promotion of safe and inclusive communities – including schools – through a community based approach and through empowerment of local protection networks especially for outreaching persons at higher risk such as older persons and persons with disabilities.</v>
          </cell>
          <cell r="X15" t="str">
            <v>UNHCR 2020 Country Operations Plan</v>
          </cell>
          <cell r="Y15" t="str">
            <v>4</v>
          </cell>
          <cell r="Z15" t="str">
            <v>2</v>
          </cell>
          <cell r="AA15" t="str">
            <v>W G B M D</v>
          </cell>
          <cell r="AB15" t="str">
            <v>YC CH AD YA MA OA</v>
          </cell>
          <cell r="AC15" t="str">
            <v>UNHCR 2020 response plan combines a diversity of interventions across different sectors that respond to the needs of different groups based on an age, gender and diversity approach. The operation is reinforcing coordination among local organizations working on SGBV and CP through the Regional Safe Space Network, while supporting safe houses for SGBV survivors. LGBTI+ individuals at risk and alternative care modalities to UASC. Moreover, the operational plan closely links with existing government systems for the local integration of refugees in Ecuador, including the promotion of the pilot with the Ministry of Social and Economic Inclusion of the Graduation Model that targets profiles at higher risk, including women at risk, SGBV survivors, and families with children. Additionally, the operation is supporting youth groups to organize themselves and foster more protective environments as a protection measure, and keep promoting a community based approach to support local protection networks, including for the identification and referral of persons at higher risk, such as persons with severe disabilities and older persons.</v>
          </cell>
          <cell r="AD15" t="str">
            <v>UNHCR 2020 Country Operations Plan</v>
          </cell>
          <cell r="AE15" t="str">
            <v>4</v>
          </cell>
          <cell r="AF15" t="str">
            <v>1 2 3</v>
          </cell>
          <cell r="AG15" t="str">
            <v>W G B M D</v>
          </cell>
          <cell r="AH15" t="str">
            <v>CH AD YA MA OA</v>
          </cell>
          <cell r="AI15" t="str">
            <v>UNHCR 2020 response plan is being built based on consultations with affected communities, including LGBTI+ community, older persons, persons with disability, and children. The plan pushes forward a community-based approach for the design, implementation, monitoring and evaluation with activities, putting special focus on supporting local organizations to develop their capacities and contribute to the operationalization of the response plan. Moreover, the response plan highlights the importance of maintaining UNHCR leadership on the establishment of CBCM especially as to PSEA and on the establishment/strengthening of bi-directional communication channels among UNHCR, partners and communities (host and refugee).</v>
          </cell>
          <cell r="AJ15" t="str">
            <v>UNHCR 2020 Country Operations Plan</v>
          </cell>
          <cell r="AK15" t="str">
            <v>4</v>
          </cell>
          <cell r="AL15" t="str">
            <v>3 2</v>
          </cell>
          <cell r="AM15" t="str">
            <v>W G B M D</v>
          </cell>
          <cell r="AN15" t="str">
            <v>CH AD YA MA OA</v>
          </cell>
          <cell r="AO15" t="str">
            <v>!) % of UASC for whom a Best Interest Process has been initiates or completed (recording of BIP carried on by UNHCR and partners);
II) # of adolescents participating in targeted programmes (project reports submitted by UNHCR field offices and partners);
III) Extent children of concern have non-discriminatory access to national child protection and social services (several sources based on UNHCR impact indicator guidance);
IV) % of known LGBTI persons of concern who receive services for their specific needs (reports by UNHCR field offices and partners);
V) % of active female participants in leadershio/management structures (reports by UNHCR field offices and partners). 
The 2020 Country Operations Plan has more than 70 indicators that can be checked in the Country Operations Plan.</v>
          </cell>
          <cell r="AP15" t="str">
            <v>UNHCR 2020 Country Operations Plan</v>
          </cell>
          <cell r="AQ15" t="str">
            <v>4</v>
          </cell>
          <cell r="AR15" t="str">
            <v>4</v>
          </cell>
          <cell r="AS15" t="str">
            <v>M</v>
          </cell>
          <cell r="DG15">
            <v>0</v>
          </cell>
          <cell r="DH15" t="str">
            <v>4M</v>
          </cell>
          <cell r="DI15" t="str">
            <v>4 (M)</v>
          </cell>
          <cell r="DJ15" t="str">
            <v>submitted_via_web</v>
          </cell>
          <cell r="DK15" t="str">
            <v>2019-09-29</v>
          </cell>
          <cell r="DL15" t="str">
            <v>2019-09-30T22:24:22</v>
          </cell>
          <cell r="DM15">
            <v>69704457</v>
          </cell>
          <cell r="DN15" t="str">
            <v>2396af0b-e05c-4af7-b9cc-192f84ebc89c</v>
          </cell>
          <cell r="DO15" t="str">
            <v>ee.humanitarianresponse.info:Bny4pMMt8AOIFeRO</v>
          </cell>
          <cell r="DP15" t="str">
            <v>vp86QYmujSsq9anoBGtGAw</v>
          </cell>
        </row>
        <row r="16">
          <cell r="T16" t="str">
            <v>1</v>
          </cell>
          <cell r="U16" t="str">
            <v>W G B</v>
          </cell>
          <cell r="V16" t="str">
            <v>CH AD YA MA</v>
          </cell>
          <cell r="W16" t="str">
            <v>Las mujeres y los niños migrantes en Ibarra, especialmente los menores no acompañados, se encuentran en mayor riesgo de inseguridad alimentaria y de ser vìctimas de tràfico de seres humanos, violencia sexual y prostituciòn. Por estas raziones, el proyecto està enfocado en la prevenciòn de fenòmenos de exclusiòn y violencia contra mujeres y niños.</v>
          </cell>
          <cell r="X16" t="str">
            <v>Narrativo del proyecto</v>
          </cell>
          <cell r="Y16" t="str">
            <v>4</v>
          </cell>
          <cell r="Z16" t="str">
            <v>2</v>
          </cell>
          <cell r="AA16" t="str">
            <v>W G B</v>
          </cell>
          <cell r="AB16" t="str">
            <v>CH AD YA MA</v>
          </cell>
          <cell r="AC16" t="str">
            <v>El proyecto prevè actividades de integraciòn y sensibilizaciòn con los niños en las escuelas y encuentros de atenciòn psico-social para mujeres. En las jornadas de integraciòn asì como en los talleres de informaciòn que se organizaràn como parte del proyecto, las actividades seràn divididas segùn los distintos grupos de edad y de gènero. Estas actividades se organizaràn tambièn segùn los resultados de un levantamiento de informaciòn inicial para mejor comprender las necesidades y aspiraciones de mujeres y niños migrantes en Ibarra.</v>
          </cell>
          <cell r="AD16" t="str">
            <v>Planilla de planificaciòn de actividades</v>
          </cell>
          <cell r="AE16" t="str">
            <v>4</v>
          </cell>
          <cell r="AF16" t="str">
            <v>1</v>
          </cell>
          <cell r="AG16" t="str">
            <v>W</v>
          </cell>
          <cell r="AH16" t="str">
            <v>AD YA MA</v>
          </cell>
          <cell r="AI16" t="str">
            <v>Las mujeres beneficiarias del proyecto ayudaràn con la socializaciòn de informaciones relevantes para los migrantes venezolanos (p.ej. procesos de legalizaciòn disponibles, rutas seguras, servicios brindados por ONGs y autoridades localets etc.). Los estudiantes de las unidades educativas tambièn participaràn al proyecto, asistiendo y organizando los talleres de sensibilizaciòn en las escuelas sobre temas como prevenciòn de violencia de gènero y explotaciòn sexual.</v>
          </cell>
          <cell r="AJ16" t="str">
            <v>Planilla de planificaciòn de actividades</v>
          </cell>
          <cell r="AK16" t="str">
            <v>4</v>
          </cell>
          <cell r="AL16" t="str">
            <v>2</v>
          </cell>
          <cell r="AM16" t="str">
            <v>W G B</v>
          </cell>
          <cell r="AN16" t="str">
            <v>YC CH AD YA MA OA</v>
          </cell>
          <cell r="AO16" t="str">
            <v>Despuès la entrega del cash-transfer, se implementaràn encuestas de seguimiento a las familias beneficiarias para determinar los beneficios que las mujeres y los niños de diferentes edades han tenido como parte del proyecto. La informaciòn levantada serà reportada en informes finales.</v>
          </cell>
          <cell r="AP16" t="str">
            <v>Borrador encuesta de seguimiento para beneficiarios de cash-transfer</v>
          </cell>
          <cell r="AQ16" t="str">
            <v>4</v>
          </cell>
          <cell r="AR16" t="str">
            <v>4</v>
          </cell>
          <cell r="AS16" t="str">
            <v>M</v>
          </cell>
          <cell r="DG16">
            <v>0</v>
          </cell>
          <cell r="DH16" t="str">
            <v>4M</v>
          </cell>
          <cell r="DI16" t="str">
            <v>4 (M)</v>
          </cell>
          <cell r="DJ16" t="str">
            <v>submitted_via_web</v>
          </cell>
          <cell r="DK16" t="str">
            <v>2019-09-25</v>
          </cell>
          <cell r="DL16" t="str">
            <v>2019-09-26T17:05:40</v>
          </cell>
          <cell r="DM16">
            <v>69297045</v>
          </cell>
          <cell r="DN16" t="str">
            <v>4649d252-48e5-436b-8096-898e33b9e4f8</v>
          </cell>
          <cell r="DO16" t="str">
            <v>ee.humanitarianresponse.info:1s25yeQAClTkpx19</v>
          </cell>
          <cell r="DP16" t="str">
            <v>vfoR5HATuvHcK2Mb4RV9e4</v>
          </cell>
        </row>
        <row r="17">
          <cell r="T17" t="str">
            <v>1</v>
          </cell>
          <cell r="U17" t="str">
            <v>W G B</v>
          </cell>
          <cell r="V17" t="str">
            <v>YC CH AD</v>
          </cell>
          <cell r="W17" t="str">
            <v>No contamos hasta el momento con un análisis escrito, sin embargo sí se han realizado análisis de necesidades en los distintos proyectos. De hecho la organización ha previsto el puesto de Oficial de protección y género justamente como una necesidad para fortalecer este aspecto en todos los proyectos. Entre otras necesidades relación al género, se ha planteado la necesidad de atender a mujeres solas en tránsito, y no sólo a mujeres embarazadas o lactantes. Por otro lado se observó la necesidad de fortalecer a los equipos para trabajar con mujeres adolescentes con alertas de violencia con sus parejas mayores de edad, como un perfil que se repite mucho en la población atendida.</v>
          </cell>
          <cell r="X17" t="str">
            <v>no aplica</v>
          </cell>
          <cell r="Y17" t="str">
            <v>4</v>
          </cell>
          <cell r="Z17" t="str">
            <v>1</v>
          </cell>
          <cell r="AA17" t="str">
            <v>W G B M D</v>
          </cell>
          <cell r="AB17" t="str">
            <v>YC CH AD</v>
          </cell>
          <cell r="AC17" t="str">
            <v>Los distintos proyectos comprenden distintos perfiles de atención. Los proyectos destinados a entrega de kits de ayuda humanitaria priorizan NNA, mujeres embarazadas, mujeres lactantes. Los proyectos de agua y saneamiento observan criterios de género por ejemplo en la ubicación y seguridad de los baños. Los proyectos de protección atienden NNA y poseen espacios lúdicos para NN y espacios de vinculación a actividades artísticas y deportivas para adolescentes. Se planifica para 2020 fortalecer a todos los equipos (con énfasis en equipos de protección a NNA y de albergues temporales) en temas de VBG, atención a población LGBTI, trata de personas y tráfico.</v>
          </cell>
          <cell r="AD17" t="str">
            <v>no aplica</v>
          </cell>
          <cell r="AE17" t="str">
            <v>4</v>
          </cell>
          <cell r="AF17" t="str">
            <v>1</v>
          </cell>
          <cell r="AG17" t="str">
            <v>W G B</v>
          </cell>
          <cell r="AH17" t="str">
            <v>CH AD</v>
          </cell>
          <cell r="AI17" t="str">
            <v>Se planifica que para procesos de atención/formación a población radicada y población de acogida se realicen diagnósticos participativos con los distintos grupos edad y género y a partir de ello adaptar los talleres a estas necesidades e intereses. En cuanto a espacios lúdicos se realizarán pequeñas evaluaciones con los NN para ir adaptando los espacios a sus intereses. En cuanto a espacios con adolescentes también se realizaran sesiones de retroalimentación. Se comenzará a trabajar con algunos grupos de mujeres y con ellas también se realizaran diagnósticos participativos</v>
          </cell>
          <cell r="AJ17" t="str">
            <v>no aplica</v>
          </cell>
          <cell r="AK17" t="str">
            <v>4</v>
          </cell>
          <cell r="AL17" t="str">
            <v>3 2</v>
          </cell>
          <cell r="AM17" t="str">
            <v>W G B M D</v>
          </cell>
          <cell r="AN17" t="str">
            <v>YC CH AD</v>
          </cell>
          <cell r="AO17" t="str">
            <v># kits entregados por grupo prioritario
# personas recibidas en albergues por grupos de edad género
# casos de NNA y sus familias con necesidades específicas atendidos
# NN que participan en espacios lúdicos según género y edad
# adolescentes vinculados a espacios artísticos según género
# personas en movilidad humana y población de acogida sensibilizadas
# personas en movilidad humana asesoradas y orientadas según género y edad 
# talleres de capacitación a población en movilidad y de acogida realizados</v>
          </cell>
          <cell r="AP17" t="str">
            <v>no aplica</v>
          </cell>
          <cell r="AQ17" t="str">
            <v>4</v>
          </cell>
          <cell r="AR17" t="str">
            <v>4</v>
          </cell>
          <cell r="AS17" t="str">
            <v>M</v>
          </cell>
          <cell r="DG17">
            <v>0</v>
          </cell>
          <cell r="DH17" t="str">
            <v>4M</v>
          </cell>
          <cell r="DI17" t="str">
            <v>4 (M)</v>
          </cell>
          <cell r="DJ17" t="str">
            <v>submitted_via_web</v>
          </cell>
          <cell r="DK17" t="str">
            <v>2019-09-27</v>
          </cell>
          <cell r="DL17" t="str">
            <v>2019-09-29T02:23:58</v>
          </cell>
          <cell r="DM17">
            <v>69498089</v>
          </cell>
          <cell r="DN17" t="str">
            <v>20c5d048-6181-4b06-947b-962907f2b8e4</v>
          </cell>
          <cell r="DO17" t="str">
            <v>ee.humanitarianresponse.info:9d5yuIHnj8WDh3p4</v>
          </cell>
          <cell r="DP17" t="str">
            <v>vp86QYmujSsq9anoBGtGAw</v>
          </cell>
        </row>
        <row r="18">
          <cell r="T18" t="str">
            <v>2</v>
          </cell>
          <cell r="U18" t="str">
            <v>W G D</v>
          </cell>
          <cell r="V18" t="str">
            <v>YC CH AD YA MA OA</v>
          </cell>
          <cell r="W18" t="str">
            <v>Análisis Rápido de Género realizado bajo la metodología propia de CARE. Análisis rápido de necesidades para población en mayor condición de vulnerabilidad en el último semestre de 2019.</v>
          </cell>
          <cell r="X18" t="str">
            <v>Programa de Asistencia Humanitaria a población en Movilidad Humana</v>
          </cell>
          <cell r="Y18" t="str">
            <v>4</v>
          </cell>
          <cell r="Z18" t="str">
            <v>2</v>
          </cell>
          <cell r="AA18" t="str">
            <v>W G B M D</v>
          </cell>
          <cell r="AB18" t="str">
            <v>YC CH AD YA MA OA</v>
          </cell>
          <cell r="AC18" t="str">
            <v>El programa de asistencia humanitaria incluye componentes que permiten la asistencia integral a familias (con énfasis en personas en mayor condición de vulnerabilidad). Adicionalmente, el programa de CARE también incluye acciones específicas dirigidas a determinados grupos (por ejemplo mujeres en edad reproductiva, PLW, niñas/os.</v>
          </cell>
          <cell r="AD18" t="str">
            <v>Estrategia de Respuesta Humanitaria de CARE</v>
          </cell>
          <cell r="AE18" t="str">
            <v>4</v>
          </cell>
          <cell r="AF18" t="str">
            <v>1 2 3 4</v>
          </cell>
          <cell r="AG18" t="str">
            <v>W G B M D</v>
          </cell>
          <cell r="AH18" t="str">
            <v>AD YA MA</v>
          </cell>
          <cell r="AI18" t="str">
            <v>CARE incluye procesos de retroalimentación de su programa de asistencia humanitaria. Esto ha permitido modificar/mejorar procesos de asistencia a la población de acuerdo a las necesidades. La asistencia abarca a grupos de atención prioritaria sin discriminación.</v>
          </cell>
          <cell r="AJ18" t="str">
            <v>Sistematización de encuestas de satisfacción.</v>
          </cell>
          <cell r="AK18" t="str">
            <v>4</v>
          </cell>
          <cell r="AL18" t="str">
            <v>3 2</v>
          </cell>
          <cell r="AM18" t="str">
            <v>W G B M D</v>
          </cell>
          <cell r="AN18" t="str">
            <v>CH AD YA MA</v>
          </cell>
          <cell r="AO18" t="str">
            <v>CARE incluye procesos de retroalimentación de su programa de asistencia humanitaria. Esto ha permitido modificar/mejorar procesos de asistencia a la población de acuerdo a las necesidades. La asistencia abarca a grupos de atención prioritaria sin discriminación.</v>
          </cell>
          <cell r="AP18" t="str">
            <v>Sistematización de encuestas de satisfacción</v>
          </cell>
          <cell r="AQ18" t="str">
            <v>4</v>
          </cell>
          <cell r="AR18" t="str">
            <v>4</v>
          </cell>
          <cell r="AS18" t="str">
            <v>M</v>
          </cell>
          <cell r="DG18">
            <v>0</v>
          </cell>
          <cell r="DH18" t="str">
            <v>4M</v>
          </cell>
          <cell r="DI18" t="str">
            <v>4 (M)</v>
          </cell>
          <cell r="DJ18" t="str">
            <v>submitted_via_web</v>
          </cell>
          <cell r="DK18" t="str">
            <v>2019-09-19</v>
          </cell>
          <cell r="DL18" t="str">
            <v>2019-09-20T14:52:51</v>
          </cell>
          <cell r="DM18">
            <v>68582769</v>
          </cell>
          <cell r="DN18" t="str">
            <v>8ba59a08-84f8-4c7c-a92d-ca26a2bba94b</v>
          </cell>
          <cell r="DO18" t="str">
            <v>ee.humanitarianresponse.info:4wu1ga8Ivv2AXYO3</v>
          </cell>
          <cell r="DP18" t="str">
            <v>vfoR5HATuvHcK2Mb4RV9e4</v>
          </cell>
        </row>
        <row r="19">
          <cell r="T19" t="str">
            <v>2</v>
          </cell>
          <cell r="U19" t="str">
            <v>W G</v>
          </cell>
          <cell r="V19" t="str">
            <v>AD YA</v>
          </cell>
          <cell r="W19" t="str">
            <v>En situaciones de emergencia las desigualdades de género se manifiestan con mayor fuerza e incrementa las condiciones de vulnerabilidad de las niñas y adolescentes y los riesgos que enfrentan. En condiciones de movilidad humana las niñas y adolescentes tienen mayor riesgo de vivir violencia de género y violencia sexual por lo que debemos establecer  mecanismos para prevenir, responder y erradicar todo tipo de violencia.</v>
          </cell>
          <cell r="X19" t="str">
            <v>Metodologia Plan Internacional</v>
          </cell>
          <cell r="Y19" t="str">
            <v>4</v>
          </cell>
          <cell r="Z19" t="str">
            <v>2</v>
          </cell>
          <cell r="AA19" t="str">
            <v>W G D</v>
          </cell>
          <cell r="AB19" t="str">
            <v>AD YA</v>
          </cell>
          <cell r="AC19" t="str">
            <v>En  emergencias las  intervenciones suelen caracterizarse por ser rápidas, mecánicas y, generalmente las niñas y las adolescentes mujeres al ser consideradas como parte general de la población afectada no se las atiende ni se las protege de manera particular, perdiéndose así las especificidades que tienen como sujetos de derechos.</v>
          </cell>
          <cell r="AD19" t="str">
            <v>El doble riesgo, la situacion de niñas en emergencias</v>
          </cell>
          <cell r="AE19" t="str">
            <v>4</v>
          </cell>
          <cell r="AF19" t="str">
            <v>1 2</v>
          </cell>
          <cell r="AG19" t="str">
            <v>W G D</v>
          </cell>
          <cell r="AH19" t="str">
            <v>AD YA</v>
          </cell>
          <cell r="AI19" t="str">
            <v>Los proyectos, al responder a las necesidades específicas de estos grupos de edad, contribuyen en la implementación y la consecución de los objetivos planteados.</v>
          </cell>
          <cell r="AJ19" t="str">
            <v>Metodologia Plan Inc</v>
          </cell>
          <cell r="AK19" t="str">
            <v>4</v>
          </cell>
          <cell r="AL19" t="str">
            <v>3</v>
          </cell>
          <cell r="AM19" t="str">
            <v>W G</v>
          </cell>
          <cell r="AN19" t="str">
            <v>AD</v>
          </cell>
          <cell r="AO19" t="str">
            <v>Mecanismos de retroalimentación de los beneficiarios del proyecto. 
Para los niños se ha propuesto un juego didáctico que nos permita  retroalimentarnos en función de la asistencia brindada.</v>
          </cell>
          <cell r="AP19" t="str">
            <v>Proyecto asistencia de población en movilidad humana</v>
          </cell>
          <cell r="AQ19" t="str">
            <v>4</v>
          </cell>
          <cell r="AR19" t="str">
            <v>4</v>
          </cell>
          <cell r="AS19" t="str">
            <v>M</v>
          </cell>
          <cell r="DG19">
            <v>0</v>
          </cell>
          <cell r="DH19" t="str">
            <v>4M</v>
          </cell>
          <cell r="DI19" t="str">
            <v>4 (M)</v>
          </cell>
          <cell r="DJ19" t="str">
            <v>submitted_via_web</v>
          </cell>
          <cell r="DK19" t="str">
            <v>2019-09-23</v>
          </cell>
          <cell r="DL19" t="str">
            <v>2019-09-24T15:10:52</v>
          </cell>
          <cell r="DM19">
            <v>69021266</v>
          </cell>
          <cell r="DN19" t="str">
            <v>1417b265-181d-4f17-ab25-cdf8be17b0f0</v>
          </cell>
          <cell r="DO19" t="str">
            <v>ee.humanitarianresponse.info:UGRG3lxxMZaFFSxE</v>
          </cell>
          <cell r="DP19" t="str">
            <v>vfoR5HATuvHcK2Mb4RV9e4</v>
          </cell>
        </row>
        <row r="20">
          <cell r="T20" t="str">
            <v>2</v>
          </cell>
          <cell r="U20" t="str">
            <v>W G B M D</v>
          </cell>
          <cell r="V20" t="str">
            <v>YC CH AD YA MA OA</v>
          </cell>
          <cell r="W20" t="str">
            <v>La crisis humanitaria en Venezuela afecta a personas que viven con el VIH (PVV) que tienen dificultades para acceder a los antirretrovirales (ARV). Desde el comienzo de la crisis en Venezuela, Ecuador se ha convertido en uno de los principales puntos de cruce de la migración venezolana. La población venezolana actual se estima en 250,000 personas, y supera los 300,000 a fines de 2018 (alrededor del 2% de la población ecuatoriana)
La ley de movilidad humana promulgada el 6 de febrero de 2017 garantiza la igualdad de trato para los refugiados y solicitantes de asilo al otorgarles el estatus de residencia, lo que promueve su plena integración en la vida del país (acceso a servicios de salud ). La magnitud de la crisis migratoria está ejerciendo mucha presión sobre los servicios sociales, que están amenazados de saturación. El acceso a tratamiento y servicios de salud es, por lo tanto, limitado.</v>
          </cell>
          <cell r="X20" t="str">
            <v>Protocolo de proyecto</v>
          </cell>
          <cell r="Y20" t="str">
            <v>4</v>
          </cell>
          <cell r="Z20" t="str">
            <v>1</v>
          </cell>
          <cell r="AA20" t="str">
            <v>W G B M D</v>
          </cell>
          <cell r="AB20" t="str">
            <v>YC CH AD YA MA OA</v>
          </cell>
          <cell r="AC20" t="str">
            <v>Se ha considerado un análisis de los diferentes grupos poblacionales, particularmente las poblaciones clave (HSH, MTF, TF) además se ha considerado niños,niñas y adolescentres, hombres y mujeres heterosexuales.</v>
          </cell>
          <cell r="AD20" t="str">
            <v>Protocolo del proyecto</v>
          </cell>
          <cell r="AE20" t="str">
            <v>4</v>
          </cell>
          <cell r="AF20" t="str">
            <v>1 2 3</v>
          </cell>
          <cell r="AG20" t="str">
            <v>W G B M D</v>
          </cell>
          <cell r="AH20" t="str">
            <v>YC CH AD YA MA OA</v>
          </cell>
          <cell r="AI20" t="str">
            <v>De acuerdo a la situación actual de la problemática del VIH en Ecuador y considerando el tipo de epidemia, están incluidas todas las personas de acuerdo al peso de la prevalencia existent.</v>
          </cell>
          <cell r="AJ20" t="str">
            <v>Protocolo del proyecto</v>
          </cell>
          <cell r="AK20" t="str">
            <v>4</v>
          </cell>
          <cell r="AL20" t="str">
            <v>3</v>
          </cell>
          <cell r="AM20" t="str">
            <v>W G B M D</v>
          </cell>
          <cell r="AN20" t="str">
            <v>YC CH AD YA MA OA</v>
          </cell>
          <cell r="AO20" t="str">
            <v>Cobertura de atención por tipo de población
Número de personas a las cuales se les está entregando ARV
Número de personas VIH+ y que tienen tratamiento 
Número de personas que han sido vinculadas a la red de servicios del MSP para recibir tratamiento.</v>
          </cell>
          <cell r="AP20" t="str">
            <v>Protocolo del proyecyto</v>
          </cell>
          <cell r="AQ20" t="str">
            <v>4</v>
          </cell>
          <cell r="AR20" t="str">
            <v>4</v>
          </cell>
          <cell r="AS20" t="str">
            <v>M</v>
          </cell>
          <cell r="DG20">
            <v>0</v>
          </cell>
          <cell r="DH20" t="str">
            <v>4M</v>
          </cell>
          <cell r="DI20" t="str">
            <v>4 (M)</v>
          </cell>
          <cell r="DJ20" t="str">
            <v>submitted_via_web</v>
          </cell>
          <cell r="DK20" t="str">
            <v>2019-09-18</v>
          </cell>
          <cell r="DL20" t="str">
            <v>2019-09-19T20:58:52</v>
          </cell>
          <cell r="DM20">
            <v>68499935</v>
          </cell>
          <cell r="DN20" t="str">
            <v>e698a107-509e-466a-9ddf-d5bc64d6674e</v>
          </cell>
          <cell r="DO20" t="str">
            <v>ee.humanitarianresponse.info:lySZNzTX96SlwDIl</v>
          </cell>
          <cell r="DP20" t="str">
            <v>vfoR5HATuvHcK2Mb4RV9e4</v>
          </cell>
        </row>
        <row r="21">
          <cell r="T21" t="str">
            <v>1</v>
          </cell>
          <cell r="U21" t="str">
            <v>W G B M D</v>
          </cell>
          <cell r="V21" t="str">
            <v>YC CH AD YA MA</v>
          </cell>
          <cell r="W21" t="str">
            <v>La Matriz de Monitoreo de Desplazamiento de la Población (DTM) , realiza un análisis pormenorizado de las necesidades de la población en base a sectores, género, edad y a indicadores adaptados a los contextos migratorios. El informe refleja una síntesis de las encuestas, sin embargo, la información personal recaba referente a las necesidades y condiciones de vida de las familias es manejada bajo estrictos criterios de confidencialidad y protección de datos por parte de la OIM. 
En el caso de Ecuador, se contemplaron indicadores para conocer si las personas se encontraban viajando con niños y niñas menores de edad, si habían experimentado incidentes de violencia basada en género, si habían mujeres gestantes o en periodo de lactancia y si en el trayecto habían sido retenidas en contra de su voluntad o si habían realizado actividades en contra de la misma con miras a identificar casos y prevenir la trata de personas y la explotación sexual.</v>
          </cell>
          <cell r="X21" t="str">
            <v>Monitoreo de Flujo de Población Venezolana</v>
          </cell>
          <cell r="Y21" t="str">
            <v>4</v>
          </cell>
          <cell r="Z21" t="str">
            <v>1</v>
          </cell>
          <cell r="AA21" t="str">
            <v>W G B M D</v>
          </cell>
          <cell r="AB21" t="str">
            <v>YC CH AD YA MA</v>
          </cell>
          <cell r="AC21" t="str">
            <v>La OIM elaborará estudios e implementará actividades orientadas a solventar las necesidades de población vulnerable, en el caso de niños y niñas se realizarán actividades de inclusión educativa generando espacios protectores, del mismo modo,  con adultos jóvenes la OIM trabajará con capitales semilla para promover su inclusión económica y social. 
Por otra parte, existen actividades identificadas para prevenir incidentes de violencia basada en género y trata de personas, así como , para asistir a mujeres y adolescentes mujeres.</v>
          </cell>
          <cell r="AD21" t="str">
            <v>Documento de Planificación OIM</v>
          </cell>
          <cell r="AE21" t="str">
            <v>4</v>
          </cell>
          <cell r="AF21" t="str">
            <v>1 3</v>
          </cell>
          <cell r="AG21" t="str">
            <v>W M D</v>
          </cell>
          <cell r="AH21" t="str">
            <v>YA MA</v>
          </cell>
          <cell r="AI21" t="str">
            <v>La OIM implementará mecanismos de retroalimentación y sugerencias para asegurar la participación de la población con la que se encuentra trabajando , así como también para mejorar la actividades , indicadores y objetivos adaptándolos a los requerimientos identificados directamente por la población.</v>
          </cell>
          <cell r="AJ21" t="str">
            <v>Documento de Planificación OIM</v>
          </cell>
          <cell r="AK21" t="str">
            <v>4</v>
          </cell>
          <cell r="AL21" t="str">
            <v>3 2</v>
          </cell>
          <cell r="AM21" t="str">
            <v>W G B M D</v>
          </cell>
          <cell r="AN21" t="str">
            <v>YC CH AD YA MA OA</v>
          </cell>
          <cell r="AO21" t="str">
            <v># de NNAs (M,H) acompañado/as que entran al sistema de protección. 
# de adolescentes (H,M) no acompañado/as beneficiando de primera acogida.
# de NNA beneficiarios de kits o insumos escolares.
# de personas (M,H, NNAs) asistidas con entrega de kits VBG
Los presentes indicadores permiten identificar la cobertura de necesidades que se realizará con grupos vulnerables para garantizar que los mecanismos y artículos de respuesta estén adaptados a las condiciones de género y edad de la población.</v>
          </cell>
          <cell r="AP21" t="str">
            <v>Documento de Planificación OIM</v>
          </cell>
          <cell r="AQ21" t="str">
            <v>4</v>
          </cell>
          <cell r="AR21" t="str">
            <v>4</v>
          </cell>
          <cell r="AS21" t="str">
            <v>M</v>
          </cell>
          <cell r="DG21">
            <v>0</v>
          </cell>
          <cell r="DH21" t="str">
            <v>4M</v>
          </cell>
          <cell r="DI21" t="str">
            <v>4 (M)</v>
          </cell>
          <cell r="DJ21" t="str">
            <v>submitted_via_web</v>
          </cell>
          <cell r="DK21" t="str">
            <v>2019-09-29</v>
          </cell>
          <cell r="DL21" t="str">
            <v>2019-10-01T03:31:50</v>
          </cell>
          <cell r="DM21">
            <v>69712918</v>
          </cell>
          <cell r="DN21" t="str">
            <v>dc8cec27-e428-42ee-85de-97e1036f7446</v>
          </cell>
          <cell r="DO21" t="str">
            <v>ee.humanitarianresponse.info:RqJo97h5mFN9pceN</v>
          </cell>
          <cell r="DP21" t="str">
            <v>vp86QYmujSsq9anoBGtGAw</v>
          </cell>
        </row>
        <row r="22">
          <cell r="T22" t="str">
            <v>1</v>
          </cell>
          <cell r="U22" t="str">
            <v>W G</v>
          </cell>
          <cell r="V22" t="str">
            <v>NS</v>
          </cell>
          <cell r="W22" t="str">
            <v>El documento recoge un análisis sobre violencia basada en género en las provincias de Sucumbíos y Esmeraldas para la elaboración de instrumentos en la atención jurídica y psicosocial,  e incluye: 
- Contexto Nacional de violencia basada en género con énfasis en movilidad humana.
- Orientación respecto a la aplicación y desarrollo de las políticas públicas de atención a mujeres víctimas de violencia de género por parte del Estado.
- Contextos Locales (por provincia) de violencia basada en género con énfasis en movilidad humana.
- Rutas diseñadas y vigentes para el acceso a derechos: educación, salud, laboral, vivienda, justicia, ocio, sistema financiero, otros.
- Situaciones presentes en las relaciones intrafamiliares, violencia intrafamiliar, violencia basada en género, relaciones intergeneracionales.
- Situaciones relacionantes con la integración local, desde comunidades de acogida.
- Situaciones en el contexto de medios de vida alcanzado por las mujeres, niveles económicos, pobreza, principales actividades económicas, otros.</v>
          </cell>
          <cell r="X22" t="str">
            <v>Elaboración de instrumentos en atención jurídica y psicosocial en casos de violencia basada en género en las provincias de Sucumbíos y Esmeraldas</v>
          </cell>
          <cell r="Y22" t="str">
            <v>3</v>
          </cell>
          <cell r="Z22" t="str">
            <v>1</v>
          </cell>
          <cell r="AA22" t="str">
            <v>W G B M D</v>
          </cell>
          <cell r="AB22" t="str">
            <v>YC CH AD YA MA OA</v>
          </cell>
          <cell r="AC22" t="str">
            <v>La atención que realiza el JRS mantiene mecanismos de asistencia que deben usar una metodología que se ajusta a las necesidades de cada grupo de atención prioritaria.
El equipo de las áreas de atención debe evaluar constantemente los mecanismos de asistencia para organizar las problemáticas identificadas en grupos de atención prioritaria. Esto genera contenidos técnicos, teóricos y metodológicos, con el fin de responder de manera sostenible, efectiva y rápida a las necesidades de las personas.  
Se definen los tipos de acompañamiento como individual, familiar, a grupos y comunitario. Y se han definido grupos de atención prioritaria para determinar el tipo de asistencia, la frecuencia y modalidad de acompañamiento, entre ellos: Mujeres víctimas de VBG, adolescentes y jóvenes en situación de desplazamiento forzado y de refugio, personas con discapacidad y problemas de salud que el sistema de salud pública no cubre.</v>
          </cell>
          <cell r="AD22" t="str">
            <v>Herramientas para la cotidianidad: Modelo de Atención Psicosocial</v>
          </cell>
          <cell r="AE22" t="str">
            <v>4</v>
          </cell>
          <cell r="AF22" t="str">
            <v>1 3</v>
          </cell>
          <cell r="AG22" t="str">
            <v>W M D</v>
          </cell>
          <cell r="AH22" t="str">
            <v>AD YA MA OA</v>
          </cell>
          <cell r="AI22" t="str">
            <v>Se establecen marcos de acción que parten de las realidades de los contextos en donde trabajamos. Se reconoce que las necesidades de la población son cambiantes, muldimensionales y operan en distintos contextos; por tanto, su opinión y participación constituyen la fuente principal de información y entrada que guían las estrategias de trabajo. La retroalimentación individual, grupal y organizacional se obtiene de las diferentes líneas de asistencia y formación que ofrece el JRS. Con estos aportes, se lleva a cabo un examen coherente de las acciones estratégicas para actualizarlas y responder con precisión a las necesidades de la población objetivo. Se implementan encuestas de satisfacción y retroalimentación sobre los diversos servicios, así como espacios de participación en donde pueden expresar sus dificultades y necesidades. Estas prácticas institucionales permiten adaptar de forma coherente las acciones a las necesidades y prioridades cambiantes de las comunidades beneficiarias.</v>
          </cell>
          <cell r="AJ22" t="str">
            <v>Informes valorativos de técnicos en terreno</v>
          </cell>
          <cell r="AK22" t="str">
            <v>4</v>
          </cell>
          <cell r="AL22" t="str">
            <v>3 2</v>
          </cell>
          <cell r="AM22" t="str">
            <v>W G B M D</v>
          </cell>
          <cell r="AN22" t="str">
            <v>YC CH AD YA MA OA</v>
          </cell>
          <cell r="AO22" t="str">
            <v>Número de personas (NNA/H/M/GLBTI) asistidas en alojamiento, atención psicosocial, ayuda humanitaria y atención jurídica. 
Los beneficios se determinan en un registro de atenciones realizadas.</v>
          </cell>
          <cell r="AP22" t="str">
            <v>Informes de seguimiento y monitoreo</v>
          </cell>
          <cell r="AQ22" t="str">
            <v>4</v>
          </cell>
          <cell r="AR22" t="str">
            <v>4</v>
          </cell>
          <cell r="AS22" t="str">
            <v>M</v>
          </cell>
          <cell r="DG22">
            <v>0</v>
          </cell>
          <cell r="DH22" t="str">
            <v>4M</v>
          </cell>
          <cell r="DI22" t="str">
            <v>4 (M)</v>
          </cell>
          <cell r="DJ22" t="str">
            <v>submitted_via_web</v>
          </cell>
          <cell r="DK22" t="str">
            <v>2019-09-29</v>
          </cell>
          <cell r="DL22" t="str">
            <v>2019-09-30T19:25:20</v>
          </cell>
          <cell r="DM22">
            <v>69694917</v>
          </cell>
          <cell r="DN22" t="str">
            <v>b9a576c4-e681-4f4f-8659-e4796549c4b6</v>
          </cell>
          <cell r="DO22" t="str">
            <v>ee.humanitarianresponse.info:GkTwYUQwtc9v3gfm</v>
          </cell>
          <cell r="DP22" t="str">
            <v>vp86QYmujSsq9anoBGtGAw</v>
          </cell>
        </row>
        <row r="23">
          <cell r="T23" t="str">
            <v>2</v>
          </cell>
          <cell r="U23" t="str">
            <v>W G B M</v>
          </cell>
          <cell r="V23" t="str">
            <v>CH AD YA MA OA</v>
          </cell>
          <cell r="W23" t="str">
            <v>En el estudio 'Análisis de vulnerabilidad social, económica y de seguridad alimentaria de la población venezolana que ingresa al país y hogares residentes en Ecuador' se analiza el perfil de población venezolana que ingresa al país. En este marco se colectó información desglosada por género (únicamente hombres y mujeres, no se diferencia identidad/orientación de género alternativa) y edad (menores de 10 años y entre 10 y 18 años). 
Al momento de analizar la Seguridad Alimentaria y las Estrategias de sobrevivencia no se cuenta con datos desglosados por edad y género, si no solamente por hogar. Sin embargo, al tener un extenso estudio con un perfil de la población desglosado por género y edad, es posible complementar esta información.</v>
          </cell>
          <cell r="X23" t="str">
            <v>Análisis de vulnerabilidad social, económica y de seguridad alimentaria de la población venezolana que ingresa al país y hogares residentes en Ecuador</v>
          </cell>
          <cell r="Y23" t="str">
            <v>4</v>
          </cell>
          <cell r="Z23" t="str">
            <v>2</v>
          </cell>
          <cell r="AA23" t="str">
            <v>W G B M</v>
          </cell>
          <cell r="AB23" t="str">
            <v>YC CH AD YA MA OA</v>
          </cell>
          <cell r="AC23" t="str">
            <v>Para la selección de beneficiarios/as de Asistencia alimentaria a través de cupones, se han desarrollado criterios de vulnerabilidad que toman en cuenta edad (presencia de niños/as y de adultos mayores), género, embarazo/lactancia y condiciones de salud. 
Por lo que concierne la Asistencia alimentaria, se ha hecho un análisis para identificar los alimentos que toma en cuenta, entre otros:
- una alimentación diferenciada para bebés de 6 a 12 meses, identificando también los alimentos más adecuados presentes en el país.
- es recomendable entregar a los niños de 12 a 24 meses los mismos productos alimenticios que para la población en general.</v>
          </cell>
          <cell r="AD23" t="str">
            <v>Modelo de implementación</v>
          </cell>
          <cell r="AE23" t="str">
            <v>4</v>
          </cell>
          <cell r="AF23" t="str">
            <v>1 3 4</v>
          </cell>
          <cell r="AG23" t="str">
            <v>W G B M</v>
          </cell>
          <cell r="AH23" t="str">
            <v>YC CH AD YA MA OA</v>
          </cell>
          <cell r="AI23" t="str">
            <v>Las actividades se basan en el ‘Análisis de vulnerabilidad social, económica y de seguridad alimentaria de la población venezolana que ingresa al país y hogares residentes en Ecuador’, estudio realizado con diferentes grupos de población.
Además, el PMA y sus agencias socias realizan evaluaciones y monitoreo con las personas beneficiarias, identificando posibles ajustes.
Hay también una línea telefónica para solucionar dudas y recibir quejas y sugerencias sobre la asistencia recibida.</v>
          </cell>
          <cell r="AJ23" t="str">
            <v>Análisis de vulnerabilidad social, económica y de seguridad alimentaria de la población venezolana que ingresa al país y hogares residentes en Ecuador</v>
          </cell>
          <cell r="AK23" t="str">
            <v>4</v>
          </cell>
          <cell r="AL23" t="str">
            <v>3 2</v>
          </cell>
          <cell r="AM23" t="str">
            <v>W G B M</v>
          </cell>
          <cell r="AN23" t="str">
            <v>YC CH AD OA</v>
          </cell>
          <cell r="AO23" t="str">
            <v>Puntaje consumo alimentos
#beneficiarios/as
Indicador corte transversal de género (mide quien toma las decisiones)</v>
          </cell>
          <cell r="AP23" t="str">
            <v>Informe anual País</v>
          </cell>
          <cell r="AQ23" t="str">
            <v>4</v>
          </cell>
          <cell r="AR23" t="str">
            <v>4</v>
          </cell>
          <cell r="AS23" t="str">
            <v>M</v>
          </cell>
          <cell r="DG23">
            <v>0</v>
          </cell>
          <cell r="DH23" t="str">
            <v>4M</v>
          </cell>
          <cell r="DI23" t="str">
            <v>4 (M)</v>
          </cell>
          <cell r="DJ23" t="str">
            <v>submitted_via_web</v>
          </cell>
          <cell r="DK23" t="str">
            <v>2019-09-26</v>
          </cell>
          <cell r="DL23" t="str">
            <v>2019-09-27T18:18:48</v>
          </cell>
          <cell r="DM23">
            <v>69404139</v>
          </cell>
          <cell r="DN23" t="str">
            <v>e472dd74-97e4-42b6-b816-e89a0a76cd72</v>
          </cell>
          <cell r="DO23" t="str">
            <v>ee.humanitarianresponse.info:9gugMl0b6D9C5LAx</v>
          </cell>
          <cell r="DP23" t="str">
            <v>vp86QYmujSsq9anoBGtGAw</v>
          </cell>
        </row>
        <row r="24">
          <cell r="T24" t="str">
            <v>1</v>
          </cell>
          <cell r="U24" t="str">
            <v>W M D</v>
          </cell>
          <cell r="V24" t="str">
            <v>YA MA OA</v>
          </cell>
          <cell r="W24" t="str">
            <v>En la propuesta de proyecto se orientó a atención a población vulnerable en movilidad humana y local</v>
          </cell>
          <cell r="X24" t="str">
            <v>Transversalización de la migración en los procesos de desarrollo nacional y local</v>
          </cell>
          <cell r="Y24" t="str">
            <v>4</v>
          </cell>
          <cell r="Z24" t="str">
            <v>1</v>
          </cell>
          <cell r="AA24" t="str">
            <v>W M D</v>
          </cell>
          <cell r="AB24" t="str">
            <v>YA MA OA</v>
          </cell>
          <cell r="AC24" t="str">
            <v>La orientación y capacitación en empleabilidad y emprendimiento para generación de medios de vida se trabaja con adultos mayores de 18 años responsables de la generación de ingresos para subsistencia.</v>
          </cell>
          <cell r="AD24" t="str">
            <v>Transversalización de la migración en los procesos de desarrollo nacional y local</v>
          </cell>
          <cell r="AE24" t="str">
            <v>4</v>
          </cell>
          <cell r="AF24" t="str">
            <v>1 2</v>
          </cell>
          <cell r="AG24" t="str">
            <v>W M D</v>
          </cell>
          <cell r="AH24" t="str">
            <v>AD YA MA</v>
          </cell>
          <cell r="AI24" t="str">
            <v>Las personas son participantes beneficiados directos de capacitaciones para la inserción laboral y generación de medios de vida, a través del emprendimiento. No se trabaja con NNA.</v>
          </cell>
          <cell r="AJ24" t="str">
            <v>Transversalización de la migración en los procesos de desarrollo nacional y local</v>
          </cell>
          <cell r="AK24" t="str">
            <v>4</v>
          </cell>
          <cell r="AL24" t="str">
            <v>3 2</v>
          </cell>
          <cell r="AM24" t="str">
            <v>W M D</v>
          </cell>
          <cell r="AN24" t="str">
            <v>YA MA OA</v>
          </cell>
          <cell r="AO24" t="str">
            <v>Indicadores arrojados según la herramienta de diagnóstico respecto de la población atendida y los beneficios recibidos. Se realizará evaluación una vez finalizado el proyecto piloto. 
- Número de personas en situación de vulnerabilidad y/o movilidad humana que cuentan con un medio de vida (Emprendimiento o empleo)
- Porcentaje de incremento de ingresos por persona como resultado de la asistencia recibida (50% hombres, 50% mujeres)
- Incremento del número de mujeres con autonomía económica y toma de decisiones</v>
          </cell>
          <cell r="AP24" t="str">
            <v>Transversalización de la migración en los procesos de desarrollo nacional y local</v>
          </cell>
          <cell r="AQ24" t="str">
            <v>4</v>
          </cell>
          <cell r="AR24" t="str">
            <v>4</v>
          </cell>
          <cell r="AS24" t="str">
            <v>M</v>
          </cell>
          <cell r="DG24">
            <v>0</v>
          </cell>
          <cell r="DH24" t="str">
            <v>4M</v>
          </cell>
          <cell r="DI24" t="str">
            <v>4 (M)</v>
          </cell>
          <cell r="DJ24" t="str">
            <v>submitted_via_web</v>
          </cell>
          <cell r="DK24" t="str">
            <v>2019-09-30</v>
          </cell>
          <cell r="DL24" t="str">
            <v>2019-10-01T17:09:09</v>
          </cell>
          <cell r="DM24">
            <v>69808299</v>
          </cell>
          <cell r="DN24" t="str">
            <v>81b9e9ec-7fc4-4712-b027-0417db2b6d32</v>
          </cell>
          <cell r="DO24" t="str">
            <v>ee.humanitarianresponse.info:5C6Jhn95E0mrpAHi</v>
          </cell>
          <cell r="DP24" t="str">
            <v>vp86QYmujSsq9anoBGtGAw</v>
          </cell>
        </row>
        <row r="25">
          <cell r="T25" t="str">
            <v>2</v>
          </cell>
          <cell r="U25" t="str">
            <v>W G</v>
          </cell>
          <cell r="V25" t="str">
            <v>AD YA MA</v>
          </cell>
          <cell r="W25" t="str">
            <v>The presence of the population identified in need of shelter, refuge, social services, livelihoods and protection against risks of violence, particularly amongst women and girls has increased around the area of the Ecuadorian-Colombian border as a consequence of recent peace process. Their situation is exacerbated in territories where armed conflict exists, drug trafficking occurs, with increased insecurity combined with an absence of protection, services and justice systems. 
According to UN Women information, the search for economic options, partial or complete family separation, changes in conditions and roles, barriers in social assistance and exposure to higher risks of violence for women, including violence perpetrated by armed groups, traffickers, and potentially the military groups in the area, have created a situation of special need and vulnerability for women.</v>
          </cell>
          <cell r="X25" t="str">
            <v>Peace and security interventions of UN WOMEN in ECUADOR</v>
          </cell>
          <cell r="Y25" t="str">
            <v>4</v>
          </cell>
          <cell r="Z25" t="str">
            <v>2</v>
          </cell>
          <cell r="AA25" t="str">
            <v>W G</v>
          </cell>
          <cell r="AB25" t="str">
            <v>AD YA MA</v>
          </cell>
          <cell r="AC25" t="str">
            <v>In the design phase, identification of the needs of women will be possible targeting adequately the population. For this identification, the project must ensure equal participation of men and women from the beginning. In the implementation phase, the activities will focus on the gender gaps, power dynamics and inequalities in order to minimize and eventually eliminate them. An important element is to empower and integrate women in all the project life and create mechanisms for their voices to be heard, such as dialogue spaces with authorities, leadership creation and organisations' strengthening</v>
          </cell>
          <cell r="AD25" t="str">
            <v>Peace and security strategy of UN Women in Ecuador</v>
          </cell>
          <cell r="AE25" t="str">
            <v>4</v>
          </cell>
          <cell r="AF25" t="str">
            <v>1 2</v>
          </cell>
          <cell r="AG25" t="str">
            <v>W G B</v>
          </cell>
          <cell r="AH25" t="str">
            <v>AD YA MA</v>
          </cell>
          <cell r="AI25" t="str">
            <v>UN Women counts with strategies to coordinate and plan together with the population and the key stakeholders in the border.  This coordination is guaranteed through a) International Cooperation Working Group for Gender Equality (MEGECI) b) UN joint programmes coordination and monitoring c) joint planning of missions ensuring presentation of the project with different actors in territory; d) inclusion of activities in information and reporting systems that are in place, e) Updating  mapping of actions and institutions in the northern border f) inclusion of main indicators and activities into monitoring plan of peace and security activities. 
 in order to count with local participation and standpoints, UN Women works with some NGOs: COSPE, CEDEAL, HIAS and CARE INTERNATIONAL</v>
          </cell>
          <cell r="AJ25" t="str">
            <v>Peace building and security strategy of UN Women in Ecuador</v>
          </cell>
          <cell r="AK25" t="str">
            <v>4</v>
          </cell>
          <cell r="AL25" t="str">
            <v>2</v>
          </cell>
          <cell r="AM25" t="str">
            <v>W</v>
          </cell>
          <cell r="AN25" t="str">
            <v>AD YA MA</v>
          </cell>
          <cell r="AO25" t="str">
            <v>The indicators that allow monitoring the progress are designed to identify i) population and ii) interventions delivered. Once the information is disaggregated by sex and age, it will be possible to clearly identify not only the group's needs but also to understand the context, situations and perception of the target population and others regarding the activities of the project.</v>
          </cell>
          <cell r="AP25" t="str">
            <v>Peace building and security strategy of UN Women in Ecuador</v>
          </cell>
          <cell r="AQ25" t="str">
            <v>4</v>
          </cell>
          <cell r="AR25" t="str">
            <v>4</v>
          </cell>
          <cell r="AS25" t="str">
            <v>M</v>
          </cell>
          <cell r="DG25">
            <v>0</v>
          </cell>
          <cell r="DH25" t="str">
            <v>4M</v>
          </cell>
          <cell r="DI25" t="str">
            <v>4 (M)</v>
          </cell>
          <cell r="DJ25" t="str">
            <v>submitted_via_web</v>
          </cell>
          <cell r="DK25" t="str">
            <v>2019-09-29</v>
          </cell>
          <cell r="DL25" t="str">
            <v>2019-09-30T17:16:04</v>
          </cell>
          <cell r="DM25">
            <v>69678196</v>
          </cell>
          <cell r="DN25" t="str">
            <v>0e39281f-f7cb-405b-856c-cccd876b6c8d</v>
          </cell>
          <cell r="DO25" t="str">
            <v>ee.humanitarianresponse.info:tAYgGLY0IRiKnpm2</v>
          </cell>
          <cell r="DP25" t="str">
            <v>vp86QYmujSsq9anoBGtGAw</v>
          </cell>
        </row>
        <row r="26">
          <cell r="T26" t="str">
            <v>1</v>
          </cell>
          <cell r="U26" t="str">
            <v>W G B M</v>
          </cell>
          <cell r="V26" t="str">
            <v>YC CH AD YA</v>
          </cell>
          <cell r="W26" t="str">
            <v>Se está llevando a cabo un levantamiento de línea base que nos permitirá identificar la condición de personas en situación de movilidad humana con enfoque intergeneracional y de género</v>
          </cell>
          <cell r="X26" t="str">
            <v>LINEA BASE</v>
          </cell>
          <cell r="Y26" t="str">
            <v>4</v>
          </cell>
          <cell r="Z26" t="str">
            <v>2</v>
          </cell>
          <cell r="AA26" t="str">
            <v>W G B M D</v>
          </cell>
          <cell r="AB26" t="str">
            <v>YC CH AD YA</v>
          </cell>
          <cell r="AC26" t="str">
            <v>Como organización contamos con una Política de Igualdad de Género organizacional y una estrategia para la transversalización de la perspectiva de género en nuestros servicios, proyectos y quehacer. 
En este marco nuestro análisis de caso para la atención especializada incluye variables que permiten dar cuenta de la realidad de desigualdades y violencias basadas en género. Con lo cual se podrán tomar decisiones, medidas y ofertar servicios al grupo meta acorde a las necesidades específicas. Como organización además trabajamos de manera articulada con otras organizaciones en el marco de los sistema locales de protección de derechos, a los cuales podemos derivar y/o pedir asistencia técnica de así requerirlo.</v>
          </cell>
          <cell r="AD26" t="str">
            <v>POLÍTICA DE IGUALDAD DE GÉNERO ALDEAS INFANTILES SOS.</v>
          </cell>
          <cell r="AE26" t="str">
            <v>4</v>
          </cell>
          <cell r="AF26" t="str">
            <v>1 2 3</v>
          </cell>
          <cell r="AG26" t="str">
            <v>W G B M D</v>
          </cell>
          <cell r="AH26" t="str">
            <v>YC CH AD YA</v>
          </cell>
          <cell r="AI26" t="str">
            <v>Los equipos llevarán a cabo un proceso de diagnóstico comunitario que permitirá visibilizar las problemáticas, necesidades y posibles reales soluciones, de manera participativa y articulada.</v>
          </cell>
          <cell r="AJ26" t="str">
            <v>DIAGNÓSTICO COMUNITARIO</v>
          </cell>
          <cell r="AK26" t="str">
            <v>4</v>
          </cell>
          <cell r="AL26" t="str">
            <v>3 2</v>
          </cell>
          <cell r="AM26" t="str">
            <v>W G B M D</v>
          </cell>
          <cell r="AN26" t="str">
            <v>YC CH AD YA</v>
          </cell>
          <cell r="AO26" t="str">
            <v>Registros de ingreso a la modalidad de vivienda asistida; registro de visitas de monitoreo a adolescentes y jóvenes no acompañados. Registro de familias que han recibido apoyo psicosocial y articulación con los servicios del territorio; líderes y lideresas identifican y derivan casos al sistema local de protección.</v>
          </cell>
          <cell r="AP26" t="str">
            <v>Matriz de indicadores</v>
          </cell>
          <cell r="AQ26" t="str">
            <v>4</v>
          </cell>
          <cell r="AR26" t="str">
            <v>4</v>
          </cell>
          <cell r="AS26" t="str">
            <v>M</v>
          </cell>
          <cell r="DG26">
            <v>0</v>
          </cell>
          <cell r="DH26" t="str">
            <v>4M</v>
          </cell>
          <cell r="DI26" t="str">
            <v>4 (M)</v>
          </cell>
          <cell r="DJ26" t="str">
            <v>submitted_via_web</v>
          </cell>
          <cell r="DK26" t="str">
            <v>2019-09-29</v>
          </cell>
          <cell r="DL26" t="str">
            <v>2019-09-30T19:58:31</v>
          </cell>
          <cell r="DM26">
            <v>69697134</v>
          </cell>
          <cell r="DN26" t="str">
            <v>4f815b84-b874-459d-9eab-b24eb9987529</v>
          </cell>
          <cell r="DO26" t="str">
            <v>ee.humanitarianresponse.info:lggzBChTAmWlenQE</v>
          </cell>
          <cell r="DP26" t="str">
            <v>vp86QYmujSsq9anoBGtGAw</v>
          </cell>
        </row>
        <row r="27">
          <cell r="T27" t="str">
            <v>1</v>
          </cell>
          <cell r="U27" t="str">
            <v>W G B M D</v>
          </cell>
          <cell r="V27" t="str">
            <v>YC CH AD YA MA OA</v>
          </cell>
          <cell r="W27" t="str">
            <v>According to recent studies and reports, women and girls with disabilities are at high risk of being exploited and at greater risk in human trafficking, including the context of global migration.</v>
          </cell>
          <cell r="X27" t="str">
            <v>Presentation of the International Disability Alliance and the European Disability Forum to the Committee on the Elimination of Discrimination against Women: General Recommendations on trafficking of women and girls in the context of migration.</v>
          </cell>
          <cell r="Y27" t="str">
            <v>4</v>
          </cell>
          <cell r="Z27" t="str">
            <v>1</v>
          </cell>
          <cell r="AA27" t="str">
            <v>W G B M D</v>
          </cell>
          <cell r="AB27" t="str">
            <v>YC CH AD YA MA OA</v>
          </cell>
          <cell r="AC27" t="str">
            <v>The activities are inclusive, this means all age groups of persons with disabilities are considered.</v>
          </cell>
          <cell r="AD27" t="str">
            <v>Convention on the Rights of Persons with Disabilities</v>
          </cell>
          <cell r="AE27" t="str">
            <v>4</v>
          </cell>
          <cell r="AF27" t="str">
            <v>1 2</v>
          </cell>
          <cell r="AG27" t="str">
            <v>W G B M D</v>
          </cell>
          <cell r="AH27" t="str">
            <v>YC CH AD YA MA OA</v>
          </cell>
          <cell r="AI27" t="str">
            <v>Persons with disabilities, no matter their gender nor their age, are always included in the process of the design of the project from the beginning, and also during the implementation.</v>
          </cell>
          <cell r="AJ27" t="str">
            <v>Convention on the Rights of Persons with Disabilities</v>
          </cell>
          <cell r="AK27" t="str">
            <v>4</v>
          </cell>
          <cell r="AL27" t="str">
            <v>3</v>
          </cell>
          <cell r="AM27" t="str">
            <v>W G B M D</v>
          </cell>
          <cell r="AN27" t="str">
            <v>YC AD YA MA OA</v>
          </cell>
          <cell r="AO27" t="str">
            <v>Relevant benefit indicators are the number of persons (M / W) assisted with guidance on access to education; the number of teachers, DECE and Ministry of Education staff sensitized. The benefits are determined by the number of children with disabilities and their families that are participating in inclusive programs, as the number of teachers that are  trained in inclusive education.</v>
          </cell>
          <cell r="AP27" t="str">
            <v>Convention on the Rights of Persons with Disabilities</v>
          </cell>
          <cell r="AQ27" t="str">
            <v>4</v>
          </cell>
          <cell r="AR27" t="str">
            <v>4</v>
          </cell>
          <cell r="AS27" t="str">
            <v>M</v>
          </cell>
          <cell r="DG27">
            <v>0</v>
          </cell>
          <cell r="DH27" t="str">
            <v>4M</v>
          </cell>
          <cell r="DI27" t="str">
            <v>4 (M)</v>
          </cell>
          <cell r="DJ27" t="str">
            <v>submitted_via_web</v>
          </cell>
          <cell r="DK27" t="str">
            <v>2019-09-26</v>
          </cell>
          <cell r="DL27" t="str">
            <v>2019-09-28T01:28:31</v>
          </cell>
          <cell r="DM27">
            <v>69419647</v>
          </cell>
          <cell r="DN27" t="str">
            <v>0ba73000-53d7-4f18-a0be-20799929c345</v>
          </cell>
          <cell r="DO27" t="str">
            <v>ee.humanitarianresponse.info:Vm06ow6ZZTKDq6S0</v>
          </cell>
          <cell r="DP27" t="str">
            <v>vp86QYmujSsq9anoBGtGAw</v>
          </cell>
        </row>
        <row r="28">
          <cell r="T28" t="str">
            <v>1</v>
          </cell>
          <cell r="U28" t="str">
            <v>W G B M</v>
          </cell>
          <cell r="V28" t="str">
            <v>NS</v>
          </cell>
          <cell r="W28" t="str">
            <v>El análisis de género se llevó a cabo en la etapa de estudio de factibilidad en base a los lineamientos de la Gender Policy de la organización y en base a las necesidades específicas detectadas en los "espacios de descanso" y en los datos estadísticos oficiales proporcionados por parte de las distintas organizaciones.</v>
          </cell>
          <cell r="X28" t="str">
            <v>Diagnóstico interno para propouesta</v>
          </cell>
          <cell r="Y28" t="str">
            <v>3</v>
          </cell>
          <cell r="Z28" t="str">
            <v>1</v>
          </cell>
          <cell r="AA28" t="str">
            <v>W G B M</v>
          </cell>
          <cell r="AB28" t="str">
            <v>CH YA MA</v>
          </cell>
          <cell r="AC28" t="str">
            <v>En base a la Política de Genero de la organización, se toman en cuenta, en la acción a implementar, los conceptos de: protección integral, participación, promoción, provisión de servicios, con enfoque intergeneracional y de género.</v>
          </cell>
          <cell r="AD28" t="str">
            <v>Gender Policy</v>
          </cell>
          <cell r="AE28" t="str">
            <v>4</v>
          </cell>
          <cell r="AF28" t="str">
            <v>3</v>
          </cell>
          <cell r="AG28" t="str">
            <v>W G B</v>
          </cell>
          <cell r="AH28" t="str">
            <v>YC CH AD YA MA OA</v>
          </cell>
          <cell r="AI28" t="str">
            <v>Ninguna persona se encuentra excluida en las propuestas, a pesar de que en existe diferenciación en base el enfoque directo de la actividad. En relación a la promoción de higiene se hace un fuerte énfasis en niñez y adolescencia y mujeres, mientras que en CBI e inserción socio-económica se apunta más a adultos jovenes y de mediana edad.</v>
          </cell>
          <cell r="AJ28" t="str">
            <v>Diagnóstico interno de propuesta</v>
          </cell>
          <cell r="AK28" t="str">
            <v>4</v>
          </cell>
          <cell r="AL28" t="str">
            <v>2</v>
          </cell>
          <cell r="AM28" t="str">
            <v>W G B M</v>
          </cell>
          <cell r="AN28" t="str">
            <v>YC CH MA</v>
          </cell>
          <cell r="AO28" t="str">
            <v>Registro de CBI entregado a familias y/o adultos; ficha de monitoreo de uso de CBI por beneficiario o núcleo familiar; num. de adultos hombres y mujeres y jóvenes formados en capacidades blandas; num. de adultos hombres y mujeres y jóvenes formados en emprendimiento.</v>
          </cell>
          <cell r="AP28" t="str">
            <v>Matriz de indicadores</v>
          </cell>
          <cell r="AQ28" t="str">
            <v>4</v>
          </cell>
          <cell r="AR28" t="str">
            <v>4</v>
          </cell>
          <cell r="AS28" t="str">
            <v>M</v>
          </cell>
          <cell r="DG28">
            <v>0</v>
          </cell>
          <cell r="DH28" t="str">
            <v>4M</v>
          </cell>
          <cell r="DI28" t="str">
            <v>4 (M)</v>
          </cell>
          <cell r="DJ28" t="str">
            <v>submitted_via_web</v>
          </cell>
          <cell r="DK28" t="str">
            <v>2019-10-01</v>
          </cell>
          <cell r="DL28" t="str">
            <v>2019-10-01T00:21:35</v>
          </cell>
          <cell r="DM28">
            <v>69707822</v>
          </cell>
          <cell r="DN28" t="str">
            <v>3728b445-3f40-4d3b-bd81-bcf7babc93af</v>
          </cell>
          <cell r="DO28" t="str">
            <v>ee.humanitarianresponse.info:7r5Lx3uqPuvQ9V7k</v>
          </cell>
          <cell r="DP28" t="str">
            <v>vp86QYmujSsq9anoBGtGAw</v>
          </cell>
        </row>
        <row r="29">
          <cell r="T29" t="str">
            <v>1</v>
          </cell>
          <cell r="U29" t="str">
            <v>W G B M D</v>
          </cell>
          <cell r="V29" t="str">
            <v>YC CH AD YA MA OA</v>
          </cell>
          <cell r="W29" t="str">
            <v>Se observa la necesidad de trabajar con NNA - J mujeres y hombres, en consideración a políticas de edad, género y diversidad EDG.
Las características de EGD de las personas nos permiten entender los riesgos de protección, roles de género, capacidades de las personas, en un marco de igualdad y respeto. FUDELA guarda profundo respecto por todas ellas en un marco de respecto a los derechos humanos, propendiendo ser inclusivos en todos sus proyectos, programas y metodologías.</v>
          </cell>
          <cell r="X29" t="str">
            <v>Documento referencial para FUDELA - Política de EGD de ACNUR</v>
          </cell>
          <cell r="Y29" t="str">
            <v>4</v>
          </cell>
          <cell r="Z29" t="str">
            <v>1</v>
          </cell>
          <cell r="AA29" t="str">
            <v>W G B M D</v>
          </cell>
          <cell r="AB29" t="str">
            <v>YC CH AD YA MA</v>
          </cell>
          <cell r="AC29" t="str">
            <v>Las metodologías que implementa FUDELA son altamente replicables y amigables para el desarrollo con cualquier grupo de edad es importante indicar que nuestras metodologías siempre se adaptan al contexto local y a consideraciones de edad; Además FUDELA cuenta ya con herramientas para trabajar con personas con discapacidad leve</v>
          </cell>
          <cell r="AD29" t="str">
            <v>Manual de Metodología A GANAR; Manual de Implementación de Uso adecuado del tiempo para NNA</v>
          </cell>
          <cell r="AE29" t="str">
            <v>4</v>
          </cell>
          <cell r="AF29" t="str">
            <v>1 2 4</v>
          </cell>
          <cell r="AG29" t="str">
            <v>W G B M D</v>
          </cell>
          <cell r="AH29" t="str">
            <v>YC CH AD YA</v>
          </cell>
          <cell r="AI29" t="str">
            <v>En el desarrollo de la propuesta a través de grupos focales y otros como diagnósticos participativos, donde se identifica necesidades y posibles soluciones para; Así también en una evaluación de medio termino para generar ajustes o cambios a los procesos en función de posibles cambios del contexto o necesidades</v>
          </cell>
          <cell r="AJ29" t="str">
            <v>Diagnósticos participativos; Grupos focales</v>
          </cell>
          <cell r="AK29" t="str">
            <v>4</v>
          </cell>
          <cell r="AL29" t="str">
            <v>2</v>
          </cell>
          <cell r="AM29" t="str">
            <v>W G B M</v>
          </cell>
          <cell r="AN29" t="str">
            <v>YC CH AD YA</v>
          </cell>
          <cell r="AO29" t="str">
            <v># de NNA beneficiarios de kits o insumos escolares
# de personas (NNA, H/M, refugiados y migrantes, comunidad de acogida) participantes en procesos educativos no formales para la mediación de conflicto "
# de NNA (venezolanos y comunidad de acogida) dentro de instituciones educativas receptoras de población migrante y refugiada venezolana sensibilizados.
# de actividades de protección comunitaria implementadas 
# de infraestructuras comunitarias y espacios públicos mejoradas/intervenidas
# personas jovenes y H/M beneficiadas de manera directa
# personas (jovenes y H/M) beneficiadas de manera directa
# personas (jovenes y H/M) beneficiadas de manera directa
# Acercamientos a empresas privadas y/o sector empresarial
# intervenciones en el proceso de sensibilización con operadores de capacitación certificados en Ecuador
# de personas (H/M) que acceden a servicios financieros
# de personas que reciben información sobre acceso al asilo y procedimientos migratorios 
# de NNAs beneficiando de apoyo psicosocial 
# de NNA beneficiarios de kits o insumos escolares
# de personas (NNA, H/M, refugiados y migrantes, comunidad de acogida) participantes en procesos educativos no formales para la mediación de conflicto "
# personas (jovenes y H/M) beneficiadas de manera directa
# Acercamientos a empresas privadas y/o sector empresarial
# intervenciones en el proceso de sensibilizacion con operadores de capacitacion certificados en Ecuador
# de personas (H/M) que acceden a servicios financieros
# de personasque reciben información sobre acceso al asilo y procedimientos migratorios 
# de NNAs 
# de NN entre 0 y 6 años en atención; 
# de NN entre 7 y 12 años en atención; # de Adolescentes atendidos; 
# de Jovenes atendidos;
 # de mujeres adultas atendidas; 
# de hombres atendidos con talleres para prevención de VBG</v>
          </cell>
          <cell r="AP29" t="str">
            <v>Submission RPRM 2020 FUDELA -ECUADOR</v>
          </cell>
          <cell r="AQ29" t="str">
            <v>4</v>
          </cell>
          <cell r="AR29" t="str">
            <v>4</v>
          </cell>
          <cell r="AS29" t="str">
            <v>M</v>
          </cell>
          <cell r="DG29">
            <v>0</v>
          </cell>
          <cell r="DH29" t="str">
            <v>4M</v>
          </cell>
          <cell r="DI29" t="str">
            <v>4 (M)</v>
          </cell>
          <cell r="DJ29" t="str">
            <v>submitted_via_web</v>
          </cell>
          <cell r="DK29" t="str">
            <v>2019-09-29</v>
          </cell>
          <cell r="DL29" t="str">
            <v>2019-09-30T18:56:27</v>
          </cell>
          <cell r="DM29">
            <v>69691823</v>
          </cell>
          <cell r="DN29" t="str">
            <v>d5bdc8c8-438b-4390-8098-3c38a87fd085</v>
          </cell>
          <cell r="DO29" t="str">
            <v>ee.humanitarianresponse.info:r2Cs9jTLKTJKnSQH</v>
          </cell>
          <cell r="DP29" t="str">
            <v>vp86QYmujSsq9anoBGtGAw</v>
          </cell>
        </row>
        <row r="30">
          <cell r="T30" t="str">
            <v>1</v>
          </cell>
          <cell r="U30" t="str">
            <v>W G B M D</v>
          </cell>
          <cell r="V30" t="str">
            <v>YC CH AD YA MA OA</v>
          </cell>
          <cell r="W30" t="str">
            <v>Entre las actividades se establecen de manera diferencia por genero y edad las necesidades de los diferentes grupos en tematicas de educación, integración y albergue.</v>
          </cell>
          <cell r="X30" t="str">
            <v>Reporte anual AVSI Ecuador</v>
          </cell>
          <cell r="Y30" t="str">
            <v>4</v>
          </cell>
          <cell r="Z30" t="str">
            <v>1</v>
          </cell>
          <cell r="AA30" t="str">
            <v>W G B M D</v>
          </cell>
          <cell r="AB30" t="str">
            <v>YC CH AD YA MA OA</v>
          </cell>
          <cell r="AC30" t="str">
            <v>Las actividades se apoyan con iniciativas locales que permitan tener una mejor lectura del territorio, a fin de brindar asistencia en tematicas especificas diferenciando por edad y genero de acuerdo a las necesidades.</v>
          </cell>
          <cell r="AD30" t="str">
            <v>Reporte anual AVSI Ecuador</v>
          </cell>
          <cell r="AE30" t="str">
            <v>4</v>
          </cell>
          <cell r="AF30" t="str">
            <v>1</v>
          </cell>
          <cell r="AG30" t="str">
            <v>W G B M D</v>
          </cell>
          <cell r="AH30" t="str">
            <v>YC CH AD YA MA OA</v>
          </cell>
          <cell r="AI30" t="str">
            <v>Se implementan tecnicas de diagnostico participativo diferenciando grupos de trabajo por edad y genero.</v>
          </cell>
          <cell r="AJ30" t="str">
            <v>Reporte anual AVSI</v>
          </cell>
          <cell r="AK30" t="str">
            <v>4</v>
          </cell>
          <cell r="AL30" t="str">
            <v>3</v>
          </cell>
          <cell r="AM30" t="str">
            <v>W G B M D</v>
          </cell>
          <cell r="AN30" t="str">
            <v>CH AD YA MA OA</v>
          </cell>
          <cell r="AO30" t="str">
            <v>#de hombres con edades comprendidas en 26 y 55
#de mujeres con edades comprendidas entre 26 y 55
#de jovenes hombres con edades comprendidas entre 18 y 25
#de jovenes mujeres con edades comprendidas entre 18 y 25
# de adolescentes hombres con edades comprendidas ente 14 y 17 
# de adolescentes mujeres con edades comprendidas ente 14 y 17</v>
          </cell>
          <cell r="AP30" t="str">
            <v>Reporte anual AVSI Ecuador</v>
          </cell>
          <cell r="AQ30" t="str">
            <v>4</v>
          </cell>
          <cell r="AR30" t="str">
            <v>4</v>
          </cell>
          <cell r="AS30" t="str">
            <v>M</v>
          </cell>
          <cell r="DG30">
            <v>0</v>
          </cell>
          <cell r="DH30" t="str">
            <v>4M</v>
          </cell>
          <cell r="DI30" t="str">
            <v>4 (M)</v>
          </cell>
          <cell r="DJ30" t="str">
            <v>submitted_via_web</v>
          </cell>
          <cell r="DK30" t="str">
            <v>2019-09-29</v>
          </cell>
          <cell r="DL30" t="str">
            <v>2019-09-30T16:46:07</v>
          </cell>
          <cell r="DM30">
            <v>69674764</v>
          </cell>
          <cell r="DN30" t="str">
            <v>274e7eb2-5579-41b6-98bb-eaa174e59e1e</v>
          </cell>
          <cell r="DO30" t="str">
            <v>ee.humanitarianresponse.info:AYC9oUFr7UN5Zb4b</v>
          </cell>
          <cell r="DP30" t="str">
            <v>vp86QYmujSsq9anoBGtGAw</v>
          </cell>
        </row>
        <row r="31">
          <cell r="T31" t="str">
            <v>2</v>
          </cell>
          <cell r="U31" t="str">
            <v>W G B M</v>
          </cell>
          <cell r="V31" t="str">
            <v>YA</v>
          </cell>
          <cell r="W31" t="str">
            <v>Las necesidades de las personas en situación de movilidad y de las poblaciones receptoras han sido consideradas</v>
          </cell>
          <cell r="X31" t="str">
            <v>Plan operativo OPS</v>
          </cell>
          <cell r="Y31" t="str">
            <v>4</v>
          </cell>
          <cell r="Z31" t="str">
            <v>1</v>
          </cell>
          <cell r="AA31" t="str">
            <v>W G B M</v>
          </cell>
          <cell r="AB31" t="str">
            <v>YA</v>
          </cell>
          <cell r="AC31" t="str">
            <v>Necesidades de las personas en situacion de movilidad y comunidades receptoras</v>
          </cell>
          <cell r="AD31" t="str">
            <v>Plan estrategico de OPS</v>
          </cell>
          <cell r="AE31" t="str">
            <v>4</v>
          </cell>
          <cell r="AF31" t="str">
            <v>1</v>
          </cell>
          <cell r="AG31" t="str">
            <v>W G M</v>
          </cell>
          <cell r="AH31" t="str">
            <v>YA</v>
          </cell>
          <cell r="AI31" t="str">
            <v>Personas en situacion de movilidad y comunidades de acogida</v>
          </cell>
          <cell r="AJ31" t="str">
            <v>Plan estrategico OPS</v>
          </cell>
          <cell r="AK31" t="str">
            <v>4</v>
          </cell>
          <cell r="AL31" t="str">
            <v>3</v>
          </cell>
          <cell r="AM31" t="str">
            <v>W M</v>
          </cell>
          <cell r="AN31" t="str">
            <v>YA</v>
          </cell>
          <cell r="AO31" t="str">
            <v>Personas en situacion de movilidad y personas en comunidades de acogida</v>
          </cell>
          <cell r="AP31" t="str">
            <v>Plan estrategico de OPS</v>
          </cell>
          <cell r="AQ31" t="str">
            <v>4</v>
          </cell>
          <cell r="AR31" t="str">
            <v>4</v>
          </cell>
          <cell r="AS31" t="str">
            <v>M</v>
          </cell>
          <cell r="DG31">
            <v>0</v>
          </cell>
          <cell r="DH31" t="str">
            <v>4M</v>
          </cell>
          <cell r="DI31" t="str">
            <v>4 (M)</v>
          </cell>
          <cell r="DJ31" t="str">
            <v>submitted_via_web</v>
          </cell>
          <cell r="DK31" t="str">
            <v>2019-09-29</v>
          </cell>
          <cell r="DL31" t="str">
            <v>2019-09-30T21:12:30</v>
          </cell>
          <cell r="DM31">
            <v>69702097</v>
          </cell>
          <cell r="DN31" t="str">
            <v>9fba1558-fe3b-45e2-969a-1aadd2861789</v>
          </cell>
          <cell r="DO31" t="str">
            <v>ee.humanitarianresponse.info:J6tHNZKDqPVmqop7</v>
          </cell>
          <cell r="DP31" t="str">
            <v>vp86QYmujSsq9anoBGtGAw</v>
          </cell>
        </row>
        <row r="32">
          <cell r="T32" t="str">
            <v>2</v>
          </cell>
          <cell r="U32" t="str">
            <v>W G B M</v>
          </cell>
          <cell r="V32" t="str">
            <v>YC AD OA</v>
          </cell>
          <cell r="W32" t="str">
            <v>En el marco del proyecto en ejecución, se está implementando y transversalizando las acciones con enfoque de género a fin de completar la asistencia entregada a la población beneficiaria.</v>
          </cell>
          <cell r="X32" t="str">
            <v>Protección Integral y Asistencia Humanitaria a población fronteriza, desplazados, retornados y migrantes con multi-afectación en  Venezuela, Colombia y Ecuador</v>
          </cell>
          <cell r="Y32" t="str">
            <v>4</v>
          </cell>
          <cell r="Z32" t="str">
            <v>2</v>
          </cell>
          <cell r="AA32" t="str">
            <v>EQA</v>
          </cell>
          <cell r="AB32" t="str">
            <v>YC CH AD OA</v>
          </cell>
          <cell r="AC32" t="str">
            <v>El proyecto se encuentra enfocado a mujeres, NNA, y adultos mayores, sin embargo no se discrimina a hombres con niños sólos o grupos LGTBI con factores que aumenten su vulnerabilidad (discapacidad, sobreviviente de violencia, tráfico de migrantes etc.)</v>
          </cell>
          <cell r="AD32" t="str">
            <v>Protección Integral y Asistencia Humanitaria a población fronteriza, desplazados, retornados y migrantes con multi-afectación en  Venezuela, Colombia y Ecuador</v>
          </cell>
          <cell r="AE32" t="str">
            <v>2</v>
          </cell>
          <cell r="AF32" t="str">
            <v>1 2 3</v>
          </cell>
          <cell r="AG32" t="str">
            <v>W G B M</v>
          </cell>
          <cell r="AH32" t="str">
            <v>YC CH AD OA</v>
          </cell>
          <cell r="AI32" t="str">
            <v>las mujeres: trabajar el empoderamiento propio y protegerlas de temas de trata y violencia.
NNA y adultos mayores: grupos identificados con mayor afectación que requiere la intervención por parte del contexto del proyecto</v>
          </cell>
          <cell r="AJ32" t="str">
            <v>Protección Integral y Asistencia Humanitaria a población fronteriza, desplazados, retornados y migrantes con multi-afectación en  Venezuela, Colombia y Ecuador</v>
          </cell>
          <cell r="AK32" t="str">
            <v>4</v>
          </cell>
          <cell r="AL32" t="str">
            <v>3 2</v>
          </cell>
          <cell r="AM32" t="str">
            <v>W G B M</v>
          </cell>
          <cell r="AN32" t="str">
            <v>YC CH AD OA</v>
          </cell>
          <cell r="AO32" t="str">
            <v>al final del proyecto, se realizará una evaluación del impacto causado sobre la población, mediante los registros de las entregas de las ayudas y las participaciones en los talleres comunitarios a fin de obtener una data de cada grupo beneficiado</v>
          </cell>
          <cell r="AP32" t="str">
            <v>Protección Integral y Asistencia Humanitaria a población fronteriza, desplazados, retornados y migrantes con multi-afectación en  Venezuela, Colombia y Ecuador</v>
          </cell>
          <cell r="AQ32" t="str">
            <v>4</v>
          </cell>
          <cell r="AR32" t="str">
            <v>4</v>
          </cell>
          <cell r="AS32" t="str">
            <v>M</v>
          </cell>
          <cell r="DG32">
            <v>0</v>
          </cell>
          <cell r="DH32" t="str">
            <v>4M</v>
          </cell>
          <cell r="DI32" t="str">
            <v>4 (M)</v>
          </cell>
          <cell r="DJ32" t="str">
            <v>submitted_via_web</v>
          </cell>
          <cell r="DK32" t="str">
            <v>2019-09-19</v>
          </cell>
          <cell r="DL32" t="str">
            <v>2019-09-20T20:29:20</v>
          </cell>
          <cell r="DM32">
            <v>68625902</v>
          </cell>
          <cell r="DN32" t="str">
            <v>18da2d33-b458-415b-9f3f-bfe77305effd</v>
          </cell>
          <cell r="DO32" t="str">
            <v>ee.humanitarianresponse.info:HK5UtV3Stdxyo3OQ</v>
          </cell>
          <cell r="DP32" t="str">
            <v>vfoR5HATuvHcK2Mb4RV9e4</v>
          </cell>
        </row>
        <row r="33">
          <cell r="T33" t="str">
            <v>2</v>
          </cell>
          <cell r="U33" t="str">
            <v>W M D</v>
          </cell>
          <cell r="V33" t="str">
            <v>YA MA OA</v>
          </cell>
          <cell r="W33" t="str">
            <v>Dialogo Diverso, desde el Centro de Información y Referencia Mi Casa Fuera de Casa, maneja un registro de las personas atendidas donde se especifican características de edad, sexo, género y orientación sexual, las misma que han sido utilizadas en tres diagnosticos realizados por la organización.</v>
          </cell>
          <cell r="X33" t="str">
            <v>Diagnostico de la realidad de las personas LGBTI refugiadas y migrantes de Venezuela en Quito / Perfil y diagnostico de las necesidades y capacidades de la población LGBTIQ+ refugiada y migrante en Quito, Ecuador / Diagnostico a nivel nacional sobre la situacion de la poblacion LGBTIQ+ en situación de movilidad humana con especial enfasis en personas de Venezuela sin excluir otras nacionalidades</v>
          </cell>
          <cell r="Y33" t="str">
            <v>4</v>
          </cell>
          <cell r="Z33" t="str">
            <v>2</v>
          </cell>
          <cell r="AA33" t="str">
            <v>W M D</v>
          </cell>
          <cell r="AB33" t="str">
            <v>YA MA OA</v>
          </cell>
          <cell r="AC33" t="str">
            <v>Dialogo Diverso, a traves del Centro de Informacion y Referencia Mi Casa Fuera de Casa, trabaja para población LGBTIQ+ en situacion de movilidad humana proporcionando referencias sobre ayuda humanitaria, salud, albergue, medios de vida, entre otros. Ademas, la organizacion proporciona asesoramiento legal y psicologico gratuito de forma directa asi como asistencia en salud sexual y reproductiva de acuerdo al ciclo de vida, identidad de genero y orientacion sexual.</v>
          </cell>
          <cell r="AD33" t="str">
            <v>Dialogo Diverso, levantamiento de ficha de requerimientos</v>
          </cell>
          <cell r="AE33" t="str">
            <v>4</v>
          </cell>
          <cell r="AF33" t="str">
            <v>1 2 3</v>
          </cell>
          <cell r="AG33" t="str">
            <v>W M D</v>
          </cell>
          <cell r="AH33" t="str">
            <v>YA MA OA</v>
          </cell>
          <cell r="AI33" t="str">
            <v>Dialogo Diverso trabaja para personas LGBTIQ+ en situación de movilidad humana. A partir de la identificacion de las necesidades de estas personas se diseñan estrategias para poder solventar sus requerimientos. Ademas, mediante el diagnostico participativo en el cual se promueve la colaboracion de la poblacion beneficiaria, se toman acciones en conjunto que permiten mejorar la proteccion y sentar las bases para la ejecucion del enfoque de los derechos individuales y colectivos. En vista de la falta de organizaciones de la sociedad civil que trabajen con esta población en concreto, Dialogo Diverso, como organizacion LGBTIQ+, interviene directamente, mediante el proyecto Mi Casa Fuera de Casa, dadas las caracteristicas especificas de la misma sin excluir otras identidades.</v>
          </cell>
          <cell r="AJ33" t="str">
            <v>Perfil y diagnostico de las necesidades y capacidades de la poblacion LGBTIQ+ refugiada y migrante en Quito, Ecuador / Constitucion de sociedad de hecho</v>
          </cell>
          <cell r="AK33" t="str">
            <v>4</v>
          </cell>
          <cell r="AL33" t="str">
            <v>3 2</v>
          </cell>
          <cell r="AM33" t="str">
            <v>W M D</v>
          </cell>
          <cell r="AN33" t="str">
            <v>YA MA OA</v>
          </cell>
          <cell r="AO33" t="str">
            <v>Dialogo Diverso, desde el Centro de Informacion y Referencia Mi Casa Fuera de Casa, posee un sistema de calificacion del riesgo de casos (semaforizacion) en el cual se indica si el caso es de bajo riesgo, riesgo medio o alto riesgo. Mediante este sistema tambien se verifica el seguimiento de los casos. De igual forma, los servicios de asesoria legal y psicologica disponen de sus propias herramientas para verificar la satisfaccion o percepcion del servicio. Estas incluyen un buzon de quejas y sugerencias y un consentimiento informado.</v>
          </cell>
          <cell r="AP33" t="str">
            <v>Dialogo diverso, levantamiento de ficha de requerimientos / Formato de buzon de sugerencia  / Consentimiento informado</v>
          </cell>
          <cell r="AQ33" t="str">
            <v>4</v>
          </cell>
          <cell r="AR33" t="str">
            <v>4</v>
          </cell>
          <cell r="AS33" t="str">
            <v>M</v>
          </cell>
          <cell r="DG33">
            <v>0</v>
          </cell>
          <cell r="DH33" t="str">
            <v>4M</v>
          </cell>
          <cell r="DI33" t="str">
            <v>4 (M)</v>
          </cell>
          <cell r="DJ33" t="str">
            <v>submitted_via_web</v>
          </cell>
          <cell r="DK33" t="str">
            <v>2019-09-27</v>
          </cell>
          <cell r="DL33" t="str">
            <v>2019-09-29T00:22:57</v>
          </cell>
          <cell r="DM33">
            <v>69496176</v>
          </cell>
          <cell r="DN33" t="str">
            <v>c7cf2751-6ed6-41e0-9757-f58a48ca0df5</v>
          </cell>
          <cell r="DO33" t="str">
            <v>ee.humanitarianresponse.info:fyHxlzCdaoFcv9Gn</v>
          </cell>
          <cell r="DP33" t="str">
            <v>vp86QYmujSsq9anoBGtGAw</v>
          </cell>
        </row>
        <row r="34">
          <cell r="T34" t="str">
            <v>2</v>
          </cell>
          <cell r="U34" t="str">
            <v>W G B M D</v>
          </cell>
          <cell r="V34" t="str">
            <v>YC CH AD YA MA</v>
          </cell>
          <cell r="W34" t="str">
            <v>Los programa ejecutados por Misión Scalabriniana están enfocados a fomentar la equidad e igualdad en las relaciones de género con especial énfasis en grupos vulnerables o de atención prioritaria. Mediante acciones afirmativas se prioriza la atención y acompañamiento a mujeres y niños, niñas, adolescentes y jóvenes</v>
          </cell>
          <cell r="X34" t="str">
            <v>R4V MSC</v>
          </cell>
          <cell r="Y34" t="str">
            <v>4</v>
          </cell>
          <cell r="Z34" t="str">
            <v>3</v>
          </cell>
          <cell r="AA34" t="str">
            <v>W G B M D</v>
          </cell>
          <cell r="AB34" t="str">
            <v>YC CH AD YA MA</v>
          </cell>
          <cell r="AC34" t="str">
            <v>Contamos con un programa de niños, niñas, adolescentes y jóvenes que promueve la participación y empoderamiento de estos grupos en sus localidades y dinámicas de vida. Desde el programa de medios de vida se promueve la inclusión de jóvenes y mujeres en grupos de auto ahorro y emprendimientos. El programa de Educación jurídica popular está orientado a población migrante y refugiada en general.</v>
          </cell>
          <cell r="AD34" t="str">
            <v>R4V MSC</v>
          </cell>
          <cell r="AE34" t="str">
            <v>4</v>
          </cell>
          <cell r="AF34" t="str">
            <v>1 4</v>
          </cell>
          <cell r="AG34" t="str">
            <v>W G B M D</v>
          </cell>
          <cell r="AH34" t="str">
            <v>YC CH AD YA MA</v>
          </cell>
          <cell r="AI34" t="str">
            <v>No hemos incorporado protocolos o mecanismos para la atención especializada de adultos mayores aunque si participan en varios de los proyectos ya que nuestros programas son inclusivos</v>
          </cell>
          <cell r="AJ34" t="str">
            <v>R4V MSC</v>
          </cell>
          <cell r="AK34" t="str">
            <v>4</v>
          </cell>
          <cell r="AL34" t="str">
            <v>3</v>
          </cell>
          <cell r="AM34" t="str">
            <v>D SGI</v>
          </cell>
          <cell r="AN34" t="str">
            <v>SGI</v>
          </cell>
          <cell r="AO34" t="str">
            <v>No hemos incorporado protocolos o mecanismos para la atención especializada de adultos mayores aunque si participan en varios de los proyectos ya que nuestros programas son inclusivos</v>
          </cell>
          <cell r="AP34" t="str">
            <v>R4V MSC</v>
          </cell>
          <cell r="AQ34" t="str">
            <v>1</v>
          </cell>
          <cell r="AR34" t="str">
            <v>4</v>
          </cell>
          <cell r="AS34" t="str">
            <v>T</v>
          </cell>
          <cell r="DG34">
            <v>0</v>
          </cell>
          <cell r="DH34" t="str">
            <v>4T</v>
          </cell>
          <cell r="DI34" t="str">
            <v>4 (T)</v>
          </cell>
          <cell r="DJ34" t="str">
            <v>submitted_via_web</v>
          </cell>
          <cell r="DK34" t="str">
            <v>2019-09-25</v>
          </cell>
          <cell r="DL34" t="str">
            <v>2019-09-26T15:36:08</v>
          </cell>
          <cell r="DM34">
            <v>69287715</v>
          </cell>
          <cell r="DN34" t="str">
            <v>f0bf2a1c-5031-4049-8589-7eb8044a10cb</v>
          </cell>
          <cell r="DO34" t="str">
            <v>ee.humanitarianresponse.info:yx05agq2CELWFDZD</v>
          </cell>
          <cell r="DP34" t="str">
            <v>vfoR5HATuvHcK2Mb4RV9e4</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B8858-916A-47D2-AF82-353B1D7A5AEA}">
  <dimension ref="A1:G61"/>
  <sheetViews>
    <sheetView workbookViewId="0">
      <selection activeCell="E51" sqref="E51"/>
    </sheetView>
  </sheetViews>
  <sheetFormatPr defaultRowHeight="15" x14ac:dyDescent="0.25"/>
  <cols>
    <col min="1" max="1" width="13.28515625" style="3" bestFit="1" customWidth="1"/>
    <col min="2" max="2" width="8.7109375" style="3" customWidth="1"/>
    <col min="3" max="3" width="57.140625" style="5" customWidth="1"/>
  </cols>
  <sheetData>
    <row r="1" spans="1:3" x14ac:dyDescent="0.25">
      <c r="A1" s="6" t="s">
        <v>0</v>
      </c>
      <c r="B1" s="6" t="s">
        <v>101</v>
      </c>
      <c r="C1" s="7" t="s">
        <v>99</v>
      </c>
    </row>
    <row r="2" spans="1:3" ht="33.75" hidden="1" x14ac:dyDescent="0.25">
      <c r="A2" s="8" t="s">
        <v>100</v>
      </c>
      <c r="B2" s="9"/>
      <c r="C2" s="10" t="s">
        <v>102</v>
      </c>
    </row>
    <row r="3" spans="1:3" hidden="1" x14ac:dyDescent="0.25">
      <c r="B3" s="1" t="s">
        <v>1</v>
      </c>
      <c r="C3" s="2" t="s">
        <v>2</v>
      </c>
    </row>
    <row r="4" spans="1:3" hidden="1" x14ac:dyDescent="0.25">
      <c r="B4" s="4" t="s">
        <v>3</v>
      </c>
      <c r="C4" s="2" t="s">
        <v>4</v>
      </c>
    </row>
    <row r="5" spans="1:3" hidden="1" x14ac:dyDescent="0.25">
      <c r="B5" s="4" t="s">
        <v>5</v>
      </c>
      <c r="C5" s="2" t="s">
        <v>6</v>
      </c>
    </row>
    <row r="6" spans="1:3" hidden="1" x14ac:dyDescent="0.25">
      <c r="B6" s="4"/>
      <c r="C6" s="2"/>
    </row>
    <row r="7" spans="1:3" hidden="1" x14ac:dyDescent="0.25">
      <c r="A7" s="8" t="s">
        <v>103</v>
      </c>
      <c r="B7" s="8"/>
      <c r="C7" s="11" t="s">
        <v>104</v>
      </c>
    </row>
    <row r="8" spans="1:3" hidden="1" x14ac:dyDescent="0.25">
      <c r="B8" s="4" t="s">
        <v>61</v>
      </c>
      <c r="C8" s="5" t="s">
        <v>86</v>
      </c>
    </row>
    <row r="9" spans="1:3" hidden="1" x14ac:dyDescent="0.25">
      <c r="B9" s="4" t="s">
        <v>59</v>
      </c>
      <c r="C9" s="5" t="s">
        <v>87</v>
      </c>
    </row>
    <row r="10" spans="1:3" hidden="1" x14ac:dyDescent="0.25">
      <c r="B10" s="4" t="s">
        <v>88</v>
      </c>
      <c r="C10" s="5" t="s">
        <v>89</v>
      </c>
    </row>
    <row r="11" spans="1:3" hidden="1" x14ac:dyDescent="0.25">
      <c r="B11" s="4"/>
      <c r="C11" s="2"/>
    </row>
    <row r="12" spans="1:3" hidden="1" x14ac:dyDescent="0.25">
      <c r="A12" s="8" t="s">
        <v>105</v>
      </c>
      <c r="B12" s="8"/>
      <c r="C12" s="11" t="s">
        <v>106</v>
      </c>
    </row>
    <row r="13" spans="1:3" hidden="1" x14ac:dyDescent="0.25">
      <c r="B13" s="4" t="s">
        <v>7</v>
      </c>
      <c r="C13" s="2" t="s">
        <v>8</v>
      </c>
    </row>
    <row r="14" spans="1:3" hidden="1" x14ac:dyDescent="0.25">
      <c r="B14" s="4" t="s">
        <v>9</v>
      </c>
      <c r="C14" s="5" t="s">
        <v>10</v>
      </c>
    </row>
    <row r="15" spans="1:3" hidden="1" x14ac:dyDescent="0.25">
      <c r="B15" s="4" t="s">
        <v>11</v>
      </c>
      <c r="C15" s="5" t="s">
        <v>12</v>
      </c>
    </row>
    <row r="16" spans="1:3" hidden="1" x14ac:dyDescent="0.25">
      <c r="B16" s="4" t="s">
        <v>13</v>
      </c>
      <c r="C16" s="5" t="s">
        <v>14</v>
      </c>
    </row>
    <row r="17" spans="2:3" hidden="1" x14ac:dyDescent="0.25">
      <c r="B17" s="4" t="s">
        <v>15</v>
      </c>
      <c r="C17" s="5" t="s">
        <v>16</v>
      </c>
    </row>
    <row r="18" spans="2:3" hidden="1" x14ac:dyDescent="0.25">
      <c r="B18" s="4" t="s">
        <v>17</v>
      </c>
      <c r="C18" s="5" t="s">
        <v>18</v>
      </c>
    </row>
    <row r="19" spans="2:3" hidden="1" x14ac:dyDescent="0.25">
      <c r="B19" s="4" t="s">
        <v>19</v>
      </c>
      <c r="C19" s="5" t="s">
        <v>20</v>
      </c>
    </row>
    <row r="20" spans="2:3" hidden="1" x14ac:dyDescent="0.25">
      <c r="B20" s="4" t="s">
        <v>21</v>
      </c>
      <c r="C20" s="5" t="s">
        <v>22</v>
      </c>
    </row>
    <row r="21" spans="2:3" hidden="1" x14ac:dyDescent="0.25">
      <c r="B21" s="4" t="s">
        <v>23</v>
      </c>
      <c r="C21" s="5" t="s">
        <v>24</v>
      </c>
    </row>
    <row r="22" spans="2:3" hidden="1" x14ac:dyDescent="0.25">
      <c r="B22" s="4" t="s">
        <v>25</v>
      </c>
      <c r="C22" s="5" t="s">
        <v>26</v>
      </c>
    </row>
    <row r="23" spans="2:3" hidden="1" x14ac:dyDescent="0.25">
      <c r="B23" s="4" t="s">
        <v>27</v>
      </c>
      <c r="C23" s="5" t="s">
        <v>28</v>
      </c>
    </row>
    <row r="24" spans="2:3" hidden="1" x14ac:dyDescent="0.25">
      <c r="B24" s="4" t="s">
        <v>29</v>
      </c>
      <c r="C24" s="5" t="s">
        <v>30</v>
      </c>
    </row>
    <row r="25" spans="2:3" hidden="1" x14ac:dyDescent="0.25">
      <c r="B25" s="4" t="s">
        <v>31</v>
      </c>
      <c r="C25" s="5" t="s">
        <v>32</v>
      </c>
    </row>
    <row r="26" spans="2:3" hidden="1" x14ac:dyDescent="0.25">
      <c r="B26" s="4" t="s">
        <v>33</v>
      </c>
      <c r="C26" s="5" t="s">
        <v>34</v>
      </c>
    </row>
    <row r="27" spans="2:3" hidden="1" x14ac:dyDescent="0.25">
      <c r="B27" s="4" t="s">
        <v>35</v>
      </c>
      <c r="C27" s="5" t="s">
        <v>36</v>
      </c>
    </row>
    <row r="28" spans="2:3" hidden="1" x14ac:dyDescent="0.25">
      <c r="B28" s="4" t="s">
        <v>37</v>
      </c>
      <c r="C28" s="5" t="s">
        <v>38</v>
      </c>
    </row>
    <row r="29" spans="2:3" hidden="1" x14ac:dyDescent="0.25">
      <c r="B29" s="4" t="s">
        <v>39</v>
      </c>
      <c r="C29" s="5" t="s">
        <v>40</v>
      </c>
    </row>
    <row r="30" spans="2:3" hidden="1" x14ac:dyDescent="0.25">
      <c r="B30" s="4" t="s">
        <v>41</v>
      </c>
      <c r="C30" s="5" t="s">
        <v>42</v>
      </c>
    </row>
    <row r="31" spans="2:3" hidden="1" x14ac:dyDescent="0.25">
      <c r="B31" s="4" t="s">
        <v>43</v>
      </c>
      <c r="C31" s="5" t="s">
        <v>44</v>
      </c>
    </row>
    <row r="32" spans="2:3" hidden="1" x14ac:dyDescent="0.25">
      <c r="B32" s="4" t="s">
        <v>45</v>
      </c>
      <c r="C32" s="5" t="s">
        <v>46</v>
      </c>
    </row>
    <row r="33" spans="1:5" x14ac:dyDescent="0.25">
      <c r="B33" s="4"/>
      <c r="C33" s="13" t="s">
        <v>151</v>
      </c>
      <c r="D33">
        <v>122</v>
      </c>
    </row>
    <row r="34" spans="1:5" x14ac:dyDescent="0.25">
      <c r="A34" s="8" t="s">
        <v>107</v>
      </c>
      <c r="B34" s="8"/>
      <c r="C34" s="11" t="s">
        <v>108</v>
      </c>
    </row>
    <row r="35" spans="1:5" x14ac:dyDescent="0.25">
      <c r="B35" s="4" t="s">
        <v>53</v>
      </c>
      <c r="C35" s="5" t="s">
        <v>54</v>
      </c>
      <c r="D35" t="e">
        <f>COUNTIF('[1]GAMs for Accepted HPC'!$J:$J,"*W*")</f>
        <v>#VALUE!</v>
      </c>
      <c r="E35" s="12" t="e">
        <f>D35/$D$33</f>
        <v>#VALUE!</v>
      </c>
    </row>
    <row r="36" spans="1:5" x14ac:dyDescent="0.25">
      <c r="B36" s="4" t="s">
        <v>55</v>
      </c>
      <c r="C36" s="5" t="s">
        <v>56</v>
      </c>
      <c r="D36" t="e">
        <f>COUNTIF('[1]GAMs for Accepted HPC'!$J:$J,"*g*")</f>
        <v>#VALUE!</v>
      </c>
      <c r="E36" s="12" t="e">
        <f>D36/$D$33</f>
        <v>#VALUE!</v>
      </c>
    </row>
    <row r="37" spans="1:5" x14ac:dyDescent="0.25">
      <c r="B37" s="4" t="s">
        <v>57</v>
      </c>
      <c r="C37" s="5" t="s">
        <v>58</v>
      </c>
      <c r="D37" t="e">
        <f>COUNTIF('[1]GAMs for Accepted HPC'!$J:$J,"*b*")</f>
        <v>#VALUE!</v>
      </c>
      <c r="E37" s="12" t="e">
        <f t="shared" ref="E37:E40" si="0">D37/$D$33</f>
        <v>#VALUE!</v>
      </c>
    </row>
    <row r="38" spans="1:5" x14ac:dyDescent="0.25">
      <c r="B38" s="4" t="s">
        <v>59</v>
      </c>
      <c r="C38" s="5" t="s">
        <v>60</v>
      </c>
      <c r="D38" t="e">
        <f>COUNTIF('[1]GAMs for Accepted HPC'!$J:$J,"*m*")</f>
        <v>#VALUE!</v>
      </c>
      <c r="E38" s="12" t="e">
        <f t="shared" si="0"/>
        <v>#VALUE!</v>
      </c>
    </row>
    <row r="39" spans="1:5" x14ac:dyDescent="0.25">
      <c r="B39" s="4" t="s">
        <v>61</v>
      </c>
      <c r="C39" s="5" t="s">
        <v>62</v>
      </c>
      <c r="D39" t="e">
        <f>COUNTIF('[1]GAMs for Accepted HPC'!$J:$J,"*d*")</f>
        <v>#VALUE!</v>
      </c>
      <c r="E39" s="12" t="e">
        <f t="shared" si="0"/>
        <v>#VALUE!</v>
      </c>
    </row>
    <row r="40" spans="1:5" x14ac:dyDescent="0.25">
      <c r="B40" s="4" t="s">
        <v>68</v>
      </c>
      <c r="C40" s="5" t="s">
        <v>69</v>
      </c>
      <c r="D40" t="e">
        <f>COUNTIF('[1]GAMs for Accepted HPC'!$J:$J,"*NA*")</f>
        <v>#VALUE!</v>
      </c>
      <c r="E40" s="12" t="e">
        <f t="shared" si="0"/>
        <v>#VALUE!</v>
      </c>
    </row>
    <row r="41" spans="1:5" x14ac:dyDescent="0.25">
      <c r="B41" s="4"/>
    </row>
    <row r="42" spans="1:5" x14ac:dyDescent="0.25">
      <c r="A42" s="8" t="s">
        <v>109</v>
      </c>
      <c r="B42" s="8"/>
      <c r="C42" s="11" t="s">
        <v>110</v>
      </c>
    </row>
    <row r="43" spans="1:5" x14ac:dyDescent="0.25">
      <c r="B43" s="4" t="s">
        <v>72</v>
      </c>
      <c r="C43" s="5" t="s">
        <v>73</v>
      </c>
      <c r="D43" t="e">
        <f>COUNTIF('[1]GAMs for Accepted HPC'!$K:$K,"*yc*")</f>
        <v>#VALUE!</v>
      </c>
      <c r="E43" s="12" t="e">
        <f t="shared" ref="E43:E48" si="1">D43/$D$33</f>
        <v>#VALUE!</v>
      </c>
    </row>
    <row r="44" spans="1:5" x14ac:dyDescent="0.25">
      <c r="B44" s="4" t="s">
        <v>74</v>
      </c>
      <c r="C44" s="5" t="s">
        <v>75</v>
      </c>
      <c r="D44" t="e">
        <f>COUNTIF('[1]GAMs for Accepted HPC'!$K:$K,"*ch*")</f>
        <v>#VALUE!</v>
      </c>
      <c r="E44" s="12" t="e">
        <f t="shared" si="1"/>
        <v>#VALUE!</v>
      </c>
    </row>
    <row r="45" spans="1:5" x14ac:dyDescent="0.25">
      <c r="B45" s="4" t="s">
        <v>76</v>
      </c>
      <c r="C45" s="5" t="s">
        <v>77</v>
      </c>
      <c r="D45" t="e">
        <f>COUNTIF('[1]GAMs for Accepted HPC'!$K:$K,"*ad*")</f>
        <v>#VALUE!</v>
      </c>
      <c r="E45" s="12" t="e">
        <f t="shared" si="1"/>
        <v>#VALUE!</v>
      </c>
    </row>
    <row r="46" spans="1:5" x14ac:dyDescent="0.25">
      <c r="B46" s="4" t="s">
        <v>78</v>
      </c>
      <c r="C46" s="5" t="s">
        <v>79</v>
      </c>
      <c r="D46" t="e">
        <f>COUNTIF('[1]GAMs for Accepted HPC'!$K:$K,"*ya*")</f>
        <v>#VALUE!</v>
      </c>
      <c r="E46" s="12" t="e">
        <f t="shared" si="1"/>
        <v>#VALUE!</v>
      </c>
    </row>
    <row r="47" spans="1:5" x14ac:dyDescent="0.25">
      <c r="B47" s="4" t="s">
        <v>80</v>
      </c>
      <c r="C47" s="5" t="s">
        <v>81</v>
      </c>
      <c r="D47" t="e">
        <f>COUNTIF('[1]GAMs for Accepted HPC'!$K:$K,"*ma*")</f>
        <v>#VALUE!</v>
      </c>
      <c r="E47" s="12" t="e">
        <f t="shared" si="1"/>
        <v>#VALUE!</v>
      </c>
    </row>
    <row r="48" spans="1:5" x14ac:dyDescent="0.25">
      <c r="B48" s="4" t="s">
        <v>82</v>
      </c>
      <c r="C48" s="5" t="s">
        <v>83</v>
      </c>
      <c r="D48" t="e">
        <f>COUNTIF('[1]GAMs for Accepted HPC'!$K:$K,"*oa*")</f>
        <v>#VALUE!</v>
      </c>
      <c r="E48" s="12" t="e">
        <f t="shared" si="1"/>
        <v>#VALUE!</v>
      </c>
    </row>
    <row r="49" spans="1:7" x14ac:dyDescent="0.25">
      <c r="B49" s="4"/>
    </row>
    <row r="50" spans="1:7" x14ac:dyDescent="0.25">
      <c r="A50" s="8" t="s">
        <v>111</v>
      </c>
      <c r="B50" s="8"/>
      <c r="C50" s="11" t="s">
        <v>112</v>
      </c>
    </row>
    <row r="51" spans="1:7" x14ac:dyDescent="0.25">
      <c r="B51" s="4" t="s">
        <v>47</v>
      </c>
      <c r="C51" s="5" t="s">
        <v>48</v>
      </c>
      <c r="D51" t="e">
        <f>COUNTIF('[1]GAMs for Accepted HPC'!$L:$L,"*ct*")</f>
        <v>#VALUE!</v>
      </c>
      <c r="E51" s="12" t="e">
        <f>D51/126</f>
        <v>#VALUE!</v>
      </c>
      <c r="G51" t="s">
        <v>152</v>
      </c>
    </row>
    <row r="52" spans="1:7" x14ac:dyDescent="0.25">
      <c r="B52" s="4" t="s">
        <v>49</v>
      </c>
      <c r="C52" s="5" t="s">
        <v>50</v>
      </c>
      <c r="D52" t="e">
        <f>COUNTIF('[1]GAMs for Accepted HPC'!$L:$L,"*sl*")</f>
        <v>#VALUE!</v>
      </c>
      <c r="E52" s="12" t="e">
        <f>D52/126</f>
        <v>#VALUE!</v>
      </c>
    </row>
    <row r="53" spans="1:7" x14ac:dyDescent="0.25">
      <c r="B53" s="4" t="s">
        <v>51</v>
      </c>
      <c r="C53" s="5" t="s">
        <v>52</v>
      </c>
      <c r="D53" t="e">
        <f>COUNTIF('[1]GAMs for Accepted HPC'!$L:$L,"*dv*")</f>
        <v>#VALUE!</v>
      </c>
      <c r="E53" s="12" t="e">
        <f>D53/126</f>
        <v>#VALUE!</v>
      </c>
    </row>
    <row r="54" spans="1:7" x14ac:dyDescent="0.25">
      <c r="B54" s="4"/>
    </row>
    <row r="55" spans="1:7" x14ac:dyDescent="0.25">
      <c r="B55" s="4"/>
    </row>
    <row r="56" spans="1:7" x14ac:dyDescent="0.25">
      <c r="B56" s="4"/>
    </row>
    <row r="57" spans="1:7" x14ac:dyDescent="0.25">
      <c r="B57" s="4"/>
    </row>
    <row r="58" spans="1:7" x14ac:dyDescent="0.25">
      <c r="B58" s="4"/>
    </row>
    <row r="59" spans="1:7" x14ac:dyDescent="0.25">
      <c r="B59" s="4"/>
    </row>
    <row r="60" spans="1:7" x14ac:dyDescent="0.25">
      <c r="B60" s="4"/>
    </row>
    <row r="61" spans="1:7" x14ac:dyDescent="0.25">
      <c r="B61" s="4"/>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BB6BB-47CD-49D3-A115-3A8DB04A20D4}">
  <sheetPr>
    <outlinePr summaryBelow="0"/>
  </sheetPr>
  <dimension ref="A1:N174"/>
  <sheetViews>
    <sheetView tabSelected="1" topLeftCell="B20" workbookViewId="0">
      <selection activeCell="B20" sqref="B20"/>
    </sheetView>
  </sheetViews>
  <sheetFormatPr defaultRowHeight="15" outlineLevelRow="1" x14ac:dyDescent="0.25"/>
  <cols>
    <col min="1" max="1" width="13.28515625" style="60" hidden="1" customWidth="1"/>
    <col min="2" max="2" width="8.7109375" style="60" customWidth="1"/>
    <col min="3" max="3" width="46" style="61" customWidth="1"/>
    <col min="4" max="4" width="9.140625" style="36" customWidth="1"/>
    <col min="5" max="9" width="9.140625" style="36"/>
    <col min="10" max="10" width="13.140625" style="36" customWidth="1"/>
    <col min="11" max="11" width="31.28515625" style="36" customWidth="1"/>
    <col min="12" max="16384" width="9.140625" style="36"/>
  </cols>
  <sheetData>
    <row r="1" spans="1:6" hidden="1" x14ac:dyDescent="0.25">
      <c r="A1" s="15" t="s">
        <v>0</v>
      </c>
      <c r="B1" s="15" t="s">
        <v>101</v>
      </c>
      <c r="C1" s="41" t="s">
        <v>99</v>
      </c>
      <c r="D1" s="35"/>
      <c r="E1" s="35"/>
      <c r="F1" s="35"/>
    </row>
    <row r="2" spans="1:6" hidden="1" x14ac:dyDescent="0.25">
      <c r="A2" s="42" t="s">
        <v>144</v>
      </c>
      <c r="B2" s="43"/>
      <c r="C2" s="44" t="s">
        <v>145</v>
      </c>
      <c r="D2" s="35"/>
      <c r="E2" s="35"/>
      <c r="F2" s="35"/>
    </row>
    <row r="3" spans="1:6" hidden="1" x14ac:dyDescent="0.25">
      <c r="A3" s="15"/>
      <c r="B3" s="45" t="s">
        <v>53</v>
      </c>
      <c r="C3" s="46" t="s">
        <v>54</v>
      </c>
      <c r="D3" s="35"/>
      <c r="E3" s="35"/>
      <c r="F3" s="35"/>
    </row>
    <row r="4" spans="1:6" hidden="1" x14ac:dyDescent="0.25">
      <c r="A4" s="15"/>
      <c r="B4" s="45" t="s">
        <v>55</v>
      </c>
      <c r="C4" s="46" t="s">
        <v>56</v>
      </c>
      <c r="D4" s="35"/>
      <c r="E4" s="35"/>
      <c r="F4" s="35"/>
    </row>
    <row r="5" spans="1:6" hidden="1" x14ac:dyDescent="0.25">
      <c r="A5" s="15"/>
      <c r="B5" s="45" t="s">
        <v>57</v>
      </c>
      <c r="C5" s="46" t="s">
        <v>58</v>
      </c>
      <c r="D5" s="35"/>
      <c r="E5" s="35"/>
      <c r="F5" s="35"/>
    </row>
    <row r="6" spans="1:6" hidden="1" x14ac:dyDescent="0.25">
      <c r="A6" s="15"/>
      <c r="B6" s="45" t="s">
        <v>59</v>
      </c>
      <c r="C6" s="46" t="s">
        <v>60</v>
      </c>
      <c r="D6" s="35"/>
      <c r="E6" s="35"/>
      <c r="F6" s="35"/>
    </row>
    <row r="7" spans="1:6" hidden="1" x14ac:dyDescent="0.25">
      <c r="A7" s="15"/>
      <c r="B7" s="45" t="s">
        <v>61</v>
      </c>
      <c r="C7" s="46" t="s">
        <v>62</v>
      </c>
      <c r="D7" s="35"/>
      <c r="E7" s="35"/>
      <c r="F7" s="35"/>
    </row>
    <row r="8" spans="1:6" hidden="1" x14ac:dyDescent="0.25">
      <c r="A8" s="15"/>
      <c r="B8" s="45" t="s">
        <v>66</v>
      </c>
      <c r="C8" s="46" t="s">
        <v>67</v>
      </c>
      <c r="D8" s="35"/>
      <c r="E8" s="35"/>
      <c r="F8" s="35"/>
    </row>
    <row r="9" spans="1:6" hidden="1" x14ac:dyDescent="0.25">
      <c r="A9" s="15"/>
      <c r="B9" s="15"/>
      <c r="C9" s="41"/>
      <c r="D9" s="35"/>
      <c r="E9" s="35"/>
      <c r="F9" s="35"/>
    </row>
    <row r="10" spans="1:6" hidden="1" x14ac:dyDescent="0.25">
      <c r="A10" s="42" t="s">
        <v>97</v>
      </c>
      <c r="B10" s="43"/>
      <c r="C10" s="44" t="s">
        <v>145</v>
      </c>
      <c r="D10" s="35"/>
      <c r="E10" s="35"/>
      <c r="F10" s="35"/>
    </row>
    <row r="11" spans="1:6" hidden="1" x14ac:dyDescent="0.25">
      <c r="A11" s="15"/>
      <c r="B11" s="45" t="s">
        <v>233</v>
      </c>
      <c r="C11" s="46" t="s">
        <v>73</v>
      </c>
      <c r="D11" s="35"/>
      <c r="E11" s="35"/>
      <c r="F11" s="35"/>
    </row>
    <row r="12" spans="1:6" hidden="1" x14ac:dyDescent="0.25">
      <c r="A12" s="15"/>
      <c r="B12" s="45" t="s">
        <v>74</v>
      </c>
      <c r="C12" s="46" t="s">
        <v>75</v>
      </c>
      <c r="D12" s="35"/>
      <c r="E12" s="35"/>
      <c r="F12" s="35"/>
    </row>
    <row r="13" spans="1:6" hidden="1" x14ac:dyDescent="0.25">
      <c r="A13" s="15"/>
      <c r="B13" s="45" t="s">
        <v>76</v>
      </c>
      <c r="C13" s="46" t="s">
        <v>77</v>
      </c>
      <c r="D13" s="35"/>
      <c r="E13" s="35"/>
      <c r="F13" s="35"/>
    </row>
    <row r="14" spans="1:6" hidden="1" x14ac:dyDescent="0.25">
      <c r="A14" s="15"/>
      <c r="B14" s="45" t="s">
        <v>78</v>
      </c>
      <c r="C14" s="46" t="s">
        <v>79</v>
      </c>
      <c r="D14" s="35"/>
      <c r="E14" s="35"/>
      <c r="F14" s="35"/>
    </row>
    <row r="15" spans="1:6" hidden="1" x14ac:dyDescent="0.25">
      <c r="A15" s="15"/>
      <c r="B15" s="45" t="s">
        <v>80</v>
      </c>
      <c r="C15" s="46" t="s">
        <v>81</v>
      </c>
      <c r="D15" s="35"/>
      <c r="E15" s="35"/>
      <c r="F15" s="35"/>
    </row>
    <row r="16" spans="1:6" hidden="1" x14ac:dyDescent="0.25">
      <c r="A16" s="15"/>
      <c r="B16" s="45" t="s">
        <v>82</v>
      </c>
      <c r="C16" s="46" t="s">
        <v>83</v>
      </c>
      <c r="D16" s="35"/>
      <c r="E16" s="35"/>
      <c r="F16" s="35"/>
    </row>
    <row r="17" spans="1:14" hidden="1" x14ac:dyDescent="0.25">
      <c r="A17" s="15"/>
      <c r="B17" s="45" t="s">
        <v>66</v>
      </c>
      <c r="C17" s="47" t="s">
        <v>85</v>
      </c>
      <c r="D17" s="35"/>
      <c r="E17" s="35"/>
      <c r="F17" s="35"/>
    </row>
    <row r="18" spans="1:14" hidden="1" x14ac:dyDescent="0.25">
      <c r="A18" s="15"/>
      <c r="B18" s="15"/>
      <c r="C18" s="41"/>
      <c r="D18" s="35"/>
      <c r="E18" s="35"/>
      <c r="F18" s="35"/>
    </row>
    <row r="19" spans="1:14" hidden="1" x14ac:dyDescent="0.25">
      <c r="A19" s="15" t="s">
        <v>146</v>
      </c>
      <c r="B19" s="15"/>
      <c r="C19" s="41"/>
      <c r="D19" s="35"/>
      <c r="E19" s="35"/>
      <c r="F19" s="35"/>
    </row>
    <row r="20" spans="1:14" x14ac:dyDescent="0.25">
      <c r="A20" s="15"/>
      <c r="B20" s="15"/>
      <c r="C20" s="41"/>
      <c r="D20" s="37" t="s">
        <v>177</v>
      </c>
      <c r="E20" s="37" t="s">
        <v>178</v>
      </c>
      <c r="F20" s="35"/>
      <c r="I20" s="76"/>
      <c r="J20" s="76"/>
      <c r="K20" s="76"/>
      <c r="L20" s="76"/>
      <c r="M20" s="76"/>
      <c r="N20" s="76"/>
    </row>
    <row r="21" spans="1:14" x14ac:dyDescent="0.25">
      <c r="A21" s="15"/>
      <c r="B21" s="15"/>
      <c r="C21" s="48" t="s">
        <v>196</v>
      </c>
      <c r="D21" s="15">
        <v>33</v>
      </c>
      <c r="E21" s="35"/>
      <c r="F21" s="35"/>
      <c r="I21" s="76"/>
      <c r="J21" s="76"/>
      <c r="K21" s="76"/>
      <c r="L21" s="76"/>
      <c r="M21" s="76"/>
      <c r="N21" s="76"/>
    </row>
    <row r="22" spans="1:14" x14ac:dyDescent="0.25">
      <c r="A22" s="49" t="s">
        <v>119</v>
      </c>
      <c r="B22" s="49"/>
      <c r="C22" s="50" t="s">
        <v>120</v>
      </c>
      <c r="D22" s="35"/>
      <c r="E22" s="35"/>
      <c r="F22" s="35"/>
      <c r="I22" s="77"/>
      <c r="J22" s="78"/>
      <c r="K22" s="78"/>
      <c r="L22" s="78"/>
      <c r="M22" s="76"/>
      <c r="N22" s="76"/>
    </row>
    <row r="23" spans="1:14" x14ac:dyDescent="0.25">
      <c r="A23" s="51" t="s">
        <v>113</v>
      </c>
      <c r="B23" s="42"/>
      <c r="C23" s="42" t="s">
        <v>114</v>
      </c>
      <c r="D23" s="35"/>
      <c r="E23" s="35"/>
      <c r="F23" s="35"/>
      <c r="I23" s="76"/>
      <c r="J23" s="78"/>
      <c r="K23" s="78"/>
      <c r="L23" s="78"/>
      <c r="M23" s="76"/>
      <c r="N23" s="76"/>
    </row>
    <row r="24" spans="1:14" x14ac:dyDescent="0.25">
      <c r="A24" s="52"/>
      <c r="B24" s="53">
        <v>2</v>
      </c>
      <c r="C24" s="54" t="s">
        <v>90</v>
      </c>
      <c r="D24" s="35">
        <f>COUNTIF([2]Ecuador!$T:$T,"2")+COUNTIF([2]Ecuador!$AT:$AT,"2")</f>
        <v>14</v>
      </c>
      <c r="E24" s="38">
        <f>D24/$D$21</f>
        <v>0.42424242424242425</v>
      </c>
      <c r="F24" s="35"/>
      <c r="G24" s="15"/>
    </row>
    <row r="25" spans="1:14" x14ac:dyDescent="0.25">
      <c r="A25" s="52"/>
      <c r="B25" s="45">
        <v>1</v>
      </c>
      <c r="C25" s="54" t="s">
        <v>91</v>
      </c>
      <c r="D25" s="35">
        <f>COUNTIF([2]Ecuador!$T:$T,"1")+COUNTIF([2]Ecuador!$AT:$AT,"1")</f>
        <v>13</v>
      </c>
      <c r="E25" s="38">
        <f t="shared" ref="E25:E26" si="0">D25/$D$21</f>
        <v>0.39393939393939392</v>
      </c>
      <c r="F25" s="35"/>
      <c r="G25" s="35"/>
    </row>
    <row r="26" spans="1:14" x14ac:dyDescent="0.25">
      <c r="A26" s="52"/>
      <c r="B26" s="45">
        <v>0</v>
      </c>
      <c r="C26" s="54" t="s">
        <v>92</v>
      </c>
      <c r="D26" s="35">
        <f>COUNTIF([2]Ecuador!$T:$T,"0")+COUNTIF([2]Ecuador!$AT:$AT,"0")</f>
        <v>6</v>
      </c>
      <c r="E26" s="38">
        <f t="shared" si="0"/>
        <v>0.18181818181818182</v>
      </c>
      <c r="F26" s="35"/>
      <c r="G26" s="35"/>
    </row>
    <row r="27" spans="1:14" x14ac:dyDescent="0.25">
      <c r="A27" s="52"/>
      <c r="B27" s="45"/>
      <c r="C27" s="46"/>
      <c r="D27" s="15">
        <f>SUM(D24:D26)</f>
        <v>33</v>
      </c>
      <c r="E27" s="38">
        <f>SUM(E24:E26)</f>
        <v>1</v>
      </c>
      <c r="F27" s="35"/>
    </row>
    <row r="28" spans="1:14" ht="45" x14ac:dyDescent="0.25">
      <c r="A28" s="51" t="s">
        <v>115</v>
      </c>
      <c r="B28" s="51"/>
      <c r="C28" s="55" t="s">
        <v>116</v>
      </c>
      <c r="D28" s="35"/>
      <c r="E28" s="35"/>
      <c r="F28" s="35"/>
    </row>
    <row r="29" spans="1:14" outlineLevel="1" x14ac:dyDescent="0.25">
      <c r="A29" s="52"/>
      <c r="B29" s="45" t="s">
        <v>53</v>
      </c>
      <c r="C29" s="46" t="s">
        <v>54</v>
      </c>
      <c r="D29" s="35">
        <f>COUNTIF([2]Ecuador!$U:$U,"*w*")+COUNTIF([2]Ecuador!$AU:$AU,"*w*")</f>
        <v>26</v>
      </c>
      <c r="E29" s="38">
        <f t="shared" ref="E29:E34" si="1">D29/$D$21</f>
        <v>0.78787878787878785</v>
      </c>
      <c r="G29" s="36" t="s">
        <v>192</v>
      </c>
      <c r="H29" s="35">
        <f>COUNTIF([2]Ecuador!$U:$U,"*w g b m d*")</f>
        <v>9</v>
      </c>
      <c r="I29" s="38">
        <f t="shared" ref="I29:I30" si="2">H29/$D$21</f>
        <v>0.27272727272727271</v>
      </c>
    </row>
    <row r="30" spans="1:14" outlineLevel="1" x14ac:dyDescent="0.25">
      <c r="A30" s="52"/>
      <c r="B30" s="45" t="s">
        <v>55</v>
      </c>
      <c r="C30" s="46" t="s">
        <v>56</v>
      </c>
      <c r="D30" s="35">
        <f>COUNTIF([2]Ecuador!$U:$U,"*g*")</f>
        <v>24</v>
      </c>
      <c r="E30" s="38">
        <f t="shared" si="1"/>
        <v>0.72727272727272729</v>
      </c>
      <c r="G30" s="35" t="s">
        <v>193</v>
      </c>
      <c r="H30" s="35">
        <f>COUNTIF([2]Ecuador!$U:$U,"*w g b m*")</f>
        <v>16</v>
      </c>
      <c r="I30" s="38">
        <f t="shared" si="2"/>
        <v>0.48484848484848486</v>
      </c>
    </row>
    <row r="31" spans="1:14" outlineLevel="1" x14ac:dyDescent="0.25">
      <c r="A31" s="52"/>
      <c r="B31" s="45" t="s">
        <v>57</v>
      </c>
      <c r="C31" s="46" t="s">
        <v>58</v>
      </c>
      <c r="D31" s="35">
        <f>COUNTIF([2]Ecuador!$U:$U,"*b*")+COUNTIF([2]Ecuador!$AU:$AU,"*w*")</f>
        <v>18</v>
      </c>
      <c r="E31" s="38">
        <f t="shared" si="1"/>
        <v>0.54545454545454541</v>
      </c>
      <c r="G31" s="35"/>
      <c r="H31" s="35"/>
      <c r="I31" s="39"/>
    </row>
    <row r="32" spans="1:14" outlineLevel="1" x14ac:dyDescent="0.25">
      <c r="A32" s="52"/>
      <c r="B32" s="45" t="s">
        <v>59</v>
      </c>
      <c r="C32" s="46" t="s">
        <v>60</v>
      </c>
      <c r="D32" s="35">
        <f>COUNTIF([2]Ecuador!$U:$U,"*m*")+COUNTIF([2]Ecuador!$AU:$AU,"*w*")</f>
        <v>19</v>
      </c>
      <c r="E32" s="38">
        <f t="shared" si="1"/>
        <v>0.5757575757575758</v>
      </c>
      <c r="F32" s="35"/>
    </row>
    <row r="33" spans="1:9" outlineLevel="1" x14ac:dyDescent="0.25">
      <c r="A33" s="52"/>
      <c r="B33" s="45" t="s">
        <v>61</v>
      </c>
      <c r="C33" s="46" t="s">
        <v>62</v>
      </c>
      <c r="D33" s="35">
        <f>COUNTIF([2]Ecuador!$U:$U,"*d*")+COUNTIF([2]Ecuador!$AU:$AU,"*w*")</f>
        <v>13</v>
      </c>
      <c r="E33" s="38">
        <f t="shared" si="1"/>
        <v>0.39393939393939392</v>
      </c>
      <c r="F33" s="35"/>
    </row>
    <row r="34" spans="1:9" outlineLevel="1" x14ac:dyDescent="0.25">
      <c r="A34" s="52"/>
      <c r="B34" s="45"/>
      <c r="C34" s="46" t="s">
        <v>191</v>
      </c>
      <c r="D34" s="35">
        <f>COUNTBLANK([2]Ecuador!$U$2:$U$34)</f>
        <v>6</v>
      </c>
      <c r="E34" s="38">
        <f t="shared" si="1"/>
        <v>0.18181818181818182</v>
      </c>
      <c r="F34" s="35"/>
    </row>
    <row r="35" spans="1:9" x14ac:dyDescent="0.25">
      <c r="A35" s="52"/>
      <c r="B35" s="45"/>
      <c r="C35" s="46"/>
      <c r="D35" s="15"/>
      <c r="E35" s="38"/>
      <c r="F35" s="35"/>
    </row>
    <row r="36" spans="1:9" ht="45" x14ac:dyDescent="0.25">
      <c r="A36" s="51" t="s">
        <v>118</v>
      </c>
      <c r="B36" s="51"/>
      <c r="C36" s="55" t="s">
        <v>117</v>
      </c>
      <c r="D36" s="35"/>
      <c r="E36" s="35"/>
      <c r="F36" s="35"/>
    </row>
    <row r="37" spans="1:9" outlineLevel="1" x14ac:dyDescent="0.25">
      <c r="A37" s="52"/>
      <c r="B37" s="45" t="s">
        <v>72</v>
      </c>
      <c r="C37" s="46" t="s">
        <v>73</v>
      </c>
      <c r="D37" s="35">
        <f>COUNTIF([2]Ecuador!$V:$V,"*YC*")</f>
        <v>13</v>
      </c>
      <c r="E37" s="38">
        <f t="shared" ref="E37:E44" si="3">D37/$D$21</f>
        <v>0.39393939393939392</v>
      </c>
      <c r="F37" s="35"/>
      <c r="G37" s="36" t="s">
        <v>195</v>
      </c>
      <c r="H37" s="35">
        <f>COUNTIF([2]Ecuador!$V:$VB,"*YC ch ad ya ma oa*")</f>
        <v>28</v>
      </c>
      <c r="I37" s="38">
        <f>H37/$D$21</f>
        <v>0.84848484848484851</v>
      </c>
    </row>
    <row r="38" spans="1:9" outlineLevel="1" x14ac:dyDescent="0.25">
      <c r="A38" s="52"/>
      <c r="B38" s="45" t="s">
        <v>74</v>
      </c>
      <c r="C38" s="46" t="s">
        <v>75</v>
      </c>
      <c r="D38" s="35">
        <f>COUNTIF([2]Ecuador!$V:$V,"*ch*")</f>
        <v>17</v>
      </c>
      <c r="E38" s="38">
        <f t="shared" si="3"/>
        <v>0.51515151515151514</v>
      </c>
      <c r="F38" s="35"/>
    </row>
    <row r="39" spans="1:9" outlineLevel="1" x14ac:dyDescent="0.25">
      <c r="A39" s="52"/>
      <c r="B39" s="45" t="s">
        <v>76</v>
      </c>
      <c r="C39" s="46" t="s">
        <v>77</v>
      </c>
      <c r="D39" s="35">
        <f>COUNTIF([2]Ecuador!$V:$V,"*ad*")</f>
        <v>19</v>
      </c>
      <c r="E39" s="38">
        <f t="shared" si="3"/>
        <v>0.5757575757575758</v>
      </c>
      <c r="F39" s="35"/>
    </row>
    <row r="40" spans="1:9" outlineLevel="1" x14ac:dyDescent="0.25">
      <c r="A40" s="52"/>
      <c r="B40" s="45" t="s">
        <v>78</v>
      </c>
      <c r="C40" s="46" t="s">
        <v>79</v>
      </c>
      <c r="D40" s="35">
        <f>COUNTIF([2]Ecuador!$V:$V,"*ya*")</f>
        <v>21</v>
      </c>
      <c r="E40" s="38">
        <f t="shared" si="3"/>
        <v>0.63636363636363635</v>
      </c>
      <c r="F40" s="35"/>
    </row>
    <row r="41" spans="1:9" outlineLevel="1" x14ac:dyDescent="0.25">
      <c r="A41" s="52"/>
      <c r="B41" s="45" t="s">
        <v>80</v>
      </c>
      <c r="C41" s="46" t="s">
        <v>81</v>
      </c>
      <c r="D41" s="35">
        <f>COUNTIF([2]Ecuador!$V:$V,"*ma*")</f>
        <v>18</v>
      </c>
      <c r="E41" s="38">
        <f t="shared" si="3"/>
        <v>0.54545454545454541</v>
      </c>
      <c r="F41" s="35"/>
    </row>
    <row r="42" spans="1:9" outlineLevel="1" x14ac:dyDescent="0.25">
      <c r="A42" s="52"/>
      <c r="B42" s="45" t="s">
        <v>82</v>
      </c>
      <c r="C42" s="46" t="s">
        <v>83</v>
      </c>
      <c r="D42" s="35">
        <f>COUNTIF([2]Ecuador!$V:$V,"*oa*")</f>
        <v>15</v>
      </c>
      <c r="E42" s="38">
        <f t="shared" si="3"/>
        <v>0.45454545454545453</v>
      </c>
      <c r="F42" s="35"/>
    </row>
    <row r="43" spans="1:9" outlineLevel="1" x14ac:dyDescent="0.25">
      <c r="A43" s="52"/>
      <c r="B43" s="45" t="s">
        <v>66</v>
      </c>
      <c r="C43" s="47" t="s">
        <v>85</v>
      </c>
      <c r="D43" s="35">
        <f>COUNTIF([2]Ecuador!$V:$V,"ns")</f>
        <v>3</v>
      </c>
      <c r="E43" s="38">
        <f t="shared" si="3"/>
        <v>9.0909090909090912E-2</v>
      </c>
      <c r="F43" s="35"/>
    </row>
    <row r="44" spans="1:9" outlineLevel="1" x14ac:dyDescent="0.25">
      <c r="A44" s="52"/>
      <c r="B44" s="45"/>
      <c r="C44" s="46" t="s">
        <v>191</v>
      </c>
      <c r="D44" s="35">
        <f>COUNTBLANK([2]Ecuador!$V2:$V54)</f>
        <v>26</v>
      </c>
      <c r="E44" s="38">
        <f t="shared" si="3"/>
        <v>0.78787878787878785</v>
      </c>
      <c r="F44" s="35"/>
    </row>
    <row r="45" spans="1:9" outlineLevel="1" x14ac:dyDescent="0.25">
      <c r="A45" s="52"/>
      <c r="B45" s="45"/>
      <c r="C45" s="47"/>
      <c r="D45" s="15"/>
      <c r="E45" s="38"/>
      <c r="F45" s="35"/>
    </row>
    <row r="46" spans="1:9" outlineLevel="1" x14ac:dyDescent="0.25">
      <c r="A46" s="56" t="s">
        <v>147</v>
      </c>
      <c r="B46" s="56"/>
      <c r="C46" s="56" t="s">
        <v>147</v>
      </c>
      <c r="D46" s="57"/>
      <c r="E46" s="35"/>
      <c r="F46" s="35"/>
    </row>
    <row r="47" spans="1:9" outlineLevel="1" x14ac:dyDescent="0.25">
      <c r="A47" s="52"/>
      <c r="B47" s="45">
        <v>4</v>
      </c>
      <c r="C47" s="47" t="s">
        <v>153</v>
      </c>
      <c r="D47" s="35">
        <f>COUNTIF([2]Ecuador!$Y:$Y,"4")+COUNTIF([2]Ecuador!$AY:$AY,"4")</f>
        <v>23</v>
      </c>
      <c r="E47" s="38">
        <f t="shared" ref="E47:E51" si="4">D47/$D$21</f>
        <v>0.69696969696969702</v>
      </c>
      <c r="F47" s="35"/>
    </row>
    <row r="48" spans="1:9" outlineLevel="1" x14ac:dyDescent="0.25">
      <c r="A48" s="52"/>
      <c r="B48" s="45">
        <v>3</v>
      </c>
      <c r="C48" s="47" t="s">
        <v>154</v>
      </c>
      <c r="D48" s="35">
        <f>COUNTIF([2]Ecuador!$Y:$Y,"3")+COUNTIF([2]Ecuador!$AY:$AY,"3")</f>
        <v>3</v>
      </c>
      <c r="E48" s="38">
        <f t="shared" si="4"/>
        <v>9.0909090909090912E-2</v>
      </c>
      <c r="F48" s="35"/>
    </row>
    <row r="49" spans="1:9" outlineLevel="1" x14ac:dyDescent="0.25">
      <c r="A49" s="52"/>
      <c r="B49" s="45">
        <v>2</v>
      </c>
      <c r="C49" s="47" t="s">
        <v>155</v>
      </c>
      <c r="D49" s="35">
        <f>COUNTIF([2]Ecuador!$Y:$Y,"2")+COUNTIF([2]Ecuador!$AY:$AY,"2")</f>
        <v>1</v>
      </c>
      <c r="E49" s="38">
        <f t="shared" si="4"/>
        <v>3.0303030303030304E-2</v>
      </c>
      <c r="F49" s="35"/>
    </row>
    <row r="50" spans="1:9" outlineLevel="1" x14ac:dyDescent="0.25">
      <c r="A50" s="52"/>
      <c r="B50" s="45">
        <v>1</v>
      </c>
      <c r="C50" s="47" t="s">
        <v>156</v>
      </c>
      <c r="D50" s="35">
        <f>COUNTIF([2]Ecuador!$Y:$Y,"1")+COUNTIF([2]Ecuador!$AY:$AY,"1")</f>
        <v>0</v>
      </c>
      <c r="E50" s="38">
        <f t="shared" si="4"/>
        <v>0</v>
      </c>
      <c r="F50" s="35"/>
    </row>
    <row r="51" spans="1:9" outlineLevel="1" x14ac:dyDescent="0.25">
      <c r="A51" s="52"/>
      <c r="B51" s="45">
        <v>0</v>
      </c>
      <c r="C51" s="46" t="s">
        <v>157</v>
      </c>
      <c r="D51" s="35">
        <f>COUNTIF([2]Ecuador!$Y:$Y,"0")+COUNTIF([2]Ecuador!$AY:$AY,"0")</f>
        <v>6</v>
      </c>
      <c r="E51" s="38">
        <f t="shared" si="4"/>
        <v>0.18181818181818182</v>
      </c>
      <c r="F51" s="35"/>
    </row>
    <row r="52" spans="1:9" x14ac:dyDescent="0.25">
      <c r="A52" s="52"/>
      <c r="B52" s="52"/>
      <c r="C52" s="46"/>
      <c r="D52" s="15">
        <f>SUM(D47:D51)</f>
        <v>33</v>
      </c>
      <c r="E52" s="27">
        <f>SUM(E47:E51)</f>
        <v>1</v>
      </c>
      <c r="F52" s="35"/>
    </row>
    <row r="53" spans="1:9" x14ac:dyDescent="0.25">
      <c r="A53" s="49" t="s">
        <v>121</v>
      </c>
      <c r="B53" s="49"/>
      <c r="C53" s="50" t="s">
        <v>122</v>
      </c>
      <c r="D53" s="35"/>
      <c r="E53" s="35"/>
      <c r="F53" s="35"/>
    </row>
    <row r="54" spans="1:9" x14ac:dyDescent="0.25">
      <c r="A54" s="51" t="s">
        <v>123</v>
      </c>
      <c r="B54" s="51"/>
      <c r="C54" s="55" t="s">
        <v>124</v>
      </c>
      <c r="D54" s="35"/>
      <c r="E54" s="35"/>
      <c r="F54" s="35"/>
    </row>
    <row r="55" spans="1:9" x14ac:dyDescent="0.25">
      <c r="A55" s="52"/>
      <c r="B55" s="45">
        <v>1</v>
      </c>
      <c r="C55" s="46" t="s">
        <v>91</v>
      </c>
      <c r="D55" s="35">
        <f>COUNTIF([2]Ecuador!$Z:$Z,"1")</f>
        <v>14</v>
      </c>
      <c r="E55" s="38">
        <f t="shared" ref="E55:E58" si="5">D55/$D$21</f>
        <v>0.42424242424242425</v>
      </c>
      <c r="F55" s="35"/>
    </row>
    <row r="56" spans="1:9" x14ac:dyDescent="0.25">
      <c r="A56" s="52"/>
      <c r="B56" s="45">
        <v>2</v>
      </c>
      <c r="C56" s="46" t="s">
        <v>93</v>
      </c>
      <c r="D56" s="35">
        <f>COUNTIF([2]Ecuador!$Z:$Z,"2")</f>
        <v>14</v>
      </c>
      <c r="E56" s="38">
        <f t="shared" si="5"/>
        <v>0.42424242424242425</v>
      </c>
      <c r="F56" s="35"/>
    </row>
    <row r="57" spans="1:9" x14ac:dyDescent="0.25">
      <c r="A57" s="52"/>
      <c r="B57" s="45">
        <v>0</v>
      </c>
      <c r="C57" s="46" t="s">
        <v>183</v>
      </c>
      <c r="D57" s="35">
        <f>COUNTIF([2]Ecuador!$Z:$Z,"0")</f>
        <v>4</v>
      </c>
      <c r="E57" s="38">
        <f t="shared" si="5"/>
        <v>0.12121212121212122</v>
      </c>
      <c r="F57" s="35"/>
    </row>
    <row r="58" spans="1:9" x14ac:dyDescent="0.25">
      <c r="A58" s="52"/>
      <c r="B58" s="45">
        <v>3</v>
      </c>
      <c r="C58" s="46" t="s">
        <v>184</v>
      </c>
      <c r="D58" s="35">
        <f>COUNTIF([2]Ecuador!$Z:$Z,"3")</f>
        <v>1</v>
      </c>
      <c r="E58" s="38">
        <f t="shared" si="5"/>
        <v>3.0303030303030304E-2</v>
      </c>
      <c r="F58" s="35"/>
    </row>
    <row r="59" spans="1:9" x14ac:dyDescent="0.25">
      <c r="A59" s="52"/>
      <c r="B59" s="45"/>
      <c r="C59" s="46"/>
      <c r="D59" s="35">
        <f>SUM(D55:D58)</f>
        <v>33</v>
      </c>
      <c r="E59" s="38">
        <f>SUM(E55:E58)</f>
        <v>1</v>
      </c>
      <c r="F59" s="35"/>
    </row>
    <row r="60" spans="1:9" ht="45" x14ac:dyDescent="0.25">
      <c r="A60" s="51" t="s">
        <v>125</v>
      </c>
      <c r="B60" s="51"/>
      <c r="C60" s="55" t="s">
        <v>126</v>
      </c>
      <c r="D60" s="35"/>
      <c r="E60" s="35"/>
      <c r="F60" s="35"/>
    </row>
    <row r="61" spans="1:9" outlineLevel="1" x14ac:dyDescent="0.25">
      <c r="A61" s="52"/>
      <c r="B61" s="45" t="s">
        <v>53</v>
      </c>
      <c r="C61" s="46" t="s">
        <v>54</v>
      </c>
      <c r="D61" s="35">
        <f>COUNTIF([2]Ecuador!$AA:$AA,"*w*")+COUNTIF([2]Ecuador!$BJ:$BJ,"*w*")</f>
        <v>26</v>
      </c>
      <c r="E61" s="38">
        <f t="shared" ref="E61:E68" si="6">D61/$D$21</f>
        <v>0.78787878787878785</v>
      </c>
      <c r="F61" s="35"/>
    </row>
    <row r="62" spans="1:9" outlineLevel="1" x14ac:dyDescent="0.25">
      <c r="A62" s="52"/>
      <c r="B62" s="45" t="s">
        <v>55</v>
      </c>
      <c r="C62" s="46" t="s">
        <v>56</v>
      </c>
      <c r="D62" s="35">
        <f>COUNTIF([2]Ecuador!$AA:$AA,"*g*")+COUNTIF([2]Ecuador!$BJ:$BJ,"*g*")</f>
        <v>25</v>
      </c>
      <c r="E62" s="38">
        <f t="shared" si="6"/>
        <v>0.75757575757575757</v>
      </c>
      <c r="F62" s="35"/>
    </row>
    <row r="63" spans="1:9" outlineLevel="1" x14ac:dyDescent="0.25">
      <c r="A63" s="52"/>
      <c r="B63" s="45" t="s">
        <v>57</v>
      </c>
      <c r="C63" s="46" t="s">
        <v>58</v>
      </c>
      <c r="D63" s="35">
        <f>COUNTIF([2]Ecuador!$AA:$AA,"*b*")+COUNTIF([2]Ecuador!$BJ:$BJ,"*b*")</f>
        <v>21</v>
      </c>
      <c r="E63" s="38">
        <f t="shared" si="6"/>
        <v>0.63636363636363635</v>
      </c>
      <c r="F63" s="35"/>
      <c r="G63" s="36" t="s">
        <v>192</v>
      </c>
      <c r="H63" s="35">
        <f>COUNTIF([2]Ecuador!$AA:$AA,"w g b m d")</f>
        <v>15</v>
      </c>
      <c r="I63" s="38">
        <f t="shared" ref="I63:I64" si="7">H63/$D$21</f>
        <v>0.45454545454545453</v>
      </c>
    </row>
    <row r="64" spans="1:9" outlineLevel="1" x14ac:dyDescent="0.25">
      <c r="A64" s="52"/>
      <c r="B64" s="45" t="s">
        <v>59</v>
      </c>
      <c r="C64" s="46" t="s">
        <v>60</v>
      </c>
      <c r="D64" s="35">
        <f>COUNTIF([2]Ecuador!$AA:$AA,"*m*")+COUNTIF([2]Ecuador!$BJ:$BJ,"*m*")</f>
        <v>23</v>
      </c>
      <c r="E64" s="38">
        <f t="shared" si="6"/>
        <v>0.69696969696969702</v>
      </c>
      <c r="F64" s="35"/>
      <c r="G64" s="35" t="s">
        <v>193</v>
      </c>
      <c r="H64" s="35">
        <f>COUNTIF([2]Ecuador!$AA:$AA,"w g b m")</f>
        <v>4</v>
      </c>
      <c r="I64" s="38">
        <f t="shared" si="7"/>
        <v>0.12121212121212122</v>
      </c>
    </row>
    <row r="65" spans="1:9" outlineLevel="1" x14ac:dyDescent="0.25">
      <c r="A65" s="52"/>
      <c r="B65" s="45" t="s">
        <v>61</v>
      </c>
      <c r="C65" s="46" t="s">
        <v>62</v>
      </c>
      <c r="D65" s="35">
        <f>COUNTIF([2]Ecuador!$AA:$AA,"*d*")+COUNTIF([2]Ecuador!$BJ:$BJ,"*d*")</f>
        <v>21</v>
      </c>
      <c r="E65" s="38">
        <f t="shared" si="6"/>
        <v>0.63636363636363635</v>
      </c>
      <c r="F65" s="35"/>
      <c r="G65" s="35"/>
      <c r="H65" s="35"/>
      <c r="I65" s="39"/>
    </row>
    <row r="66" spans="1:9" outlineLevel="1" x14ac:dyDescent="0.25">
      <c r="A66" s="52"/>
      <c r="B66" s="45" t="s">
        <v>66</v>
      </c>
      <c r="C66" s="46" t="s">
        <v>67</v>
      </c>
      <c r="D66" s="35">
        <f>COUNTIF([2]Ecuador!$AA:$AA,"ns")+COUNTIF([2]Ecuador!$BJ:$BJ,"ns")</f>
        <v>0</v>
      </c>
      <c r="E66" s="38">
        <f t="shared" si="6"/>
        <v>0</v>
      </c>
      <c r="F66" s="35"/>
    </row>
    <row r="67" spans="1:9" ht="30" x14ac:dyDescent="0.25">
      <c r="A67" s="52"/>
      <c r="B67" s="45" t="s">
        <v>70</v>
      </c>
      <c r="C67" s="46" t="s">
        <v>71</v>
      </c>
      <c r="D67" s="35">
        <f>COUNTIF([2]Ecuador!$AA:$AA,"eqa")+COUNTIF([2]Ecuador!$BJ:$BJ,"eqa")</f>
        <v>3</v>
      </c>
      <c r="E67" s="38">
        <f t="shared" si="6"/>
        <v>9.0909090909090912E-2</v>
      </c>
      <c r="F67" s="35"/>
    </row>
    <row r="68" spans="1:9" x14ac:dyDescent="0.25">
      <c r="A68" s="52"/>
      <c r="B68" s="45"/>
      <c r="C68" s="46" t="s">
        <v>191</v>
      </c>
      <c r="D68" s="35">
        <f>COUNTBLANK([2]Ecuador!AA$2:$AA$34)</f>
        <v>4</v>
      </c>
      <c r="E68" s="38">
        <f t="shared" si="6"/>
        <v>0.12121212121212122</v>
      </c>
      <c r="F68" s="35"/>
    </row>
    <row r="69" spans="1:9" x14ac:dyDescent="0.25">
      <c r="A69" s="52"/>
      <c r="B69" s="45"/>
      <c r="C69" s="46"/>
      <c r="D69" s="35"/>
      <c r="E69" s="35"/>
      <c r="F69" s="35"/>
    </row>
    <row r="70" spans="1:9" ht="30" x14ac:dyDescent="0.25">
      <c r="A70" s="51" t="s">
        <v>128</v>
      </c>
      <c r="B70" s="51"/>
      <c r="C70" s="55" t="s">
        <v>127</v>
      </c>
      <c r="D70" s="35"/>
      <c r="E70" s="35"/>
      <c r="F70" s="35"/>
    </row>
    <row r="71" spans="1:9" outlineLevel="1" x14ac:dyDescent="0.25">
      <c r="A71" s="52"/>
      <c r="B71" s="45" t="s">
        <v>72</v>
      </c>
      <c r="C71" s="46" t="s">
        <v>73</v>
      </c>
      <c r="D71" s="35">
        <f>COUNTIF([2]Ecuador!$AB:$AB,"*yc*")</f>
        <v>16</v>
      </c>
      <c r="E71" s="38">
        <f t="shared" ref="E71:E78" si="8">D71/$D$21</f>
        <v>0.48484848484848486</v>
      </c>
      <c r="F71" s="35"/>
      <c r="G71" s="36" t="s">
        <v>195</v>
      </c>
      <c r="H71" s="35">
        <f>COUNTIF([2]Ecuador!$AB:$AB,"*YC ch ad ya ma oa*")</f>
        <v>9</v>
      </c>
      <c r="I71" s="38">
        <f t="shared" ref="I71" si="9">H71/$D$21</f>
        <v>0.27272727272727271</v>
      </c>
    </row>
    <row r="72" spans="1:9" outlineLevel="1" x14ac:dyDescent="0.25">
      <c r="A72" s="52"/>
      <c r="B72" s="45" t="s">
        <v>74</v>
      </c>
      <c r="C72" s="46" t="s">
        <v>75</v>
      </c>
      <c r="D72" s="35">
        <f>COUNTIF([2]Ecuador!$AB:$AB,"*ch*")</f>
        <v>21</v>
      </c>
      <c r="E72" s="38">
        <f t="shared" si="8"/>
        <v>0.63636363636363635</v>
      </c>
      <c r="F72" s="35"/>
    </row>
    <row r="73" spans="1:9" outlineLevel="1" x14ac:dyDescent="0.25">
      <c r="A73" s="52"/>
      <c r="B73" s="45" t="s">
        <v>76</v>
      </c>
      <c r="C73" s="46" t="s">
        <v>77</v>
      </c>
      <c r="D73" s="35">
        <f>COUNTIF([2]Ecuador!$AB:$AB,"*ad*")</f>
        <v>22</v>
      </c>
      <c r="E73" s="38">
        <f t="shared" si="8"/>
        <v>0.66666666666666663</v>
      </c>
      <c r="F73" s="35"/>
    </row>
    <row r="74" spans="1:9" outlineLevel="1" x14ac:dyDescent="0.25">
      <c r="A74" s="52"/>
      <c r="B74" s="45" t="s">
        <v>78</v>
      </c>
      <c r="C74" s="46" t="s">
        <v>79</v>
      </c>
      <c r="D74" s="35">
        <f>COUNTIF([2]Ecuador!$AB:$AB,"*ya*")</f>
        <v>24</v>
      </c>
      <c r="E74" s="38">
        <f t="shared" si="8"/>
        <v>0.72727272727272729</v>
      </c>
      <c r="F74" s="35"/>
    </row>
    <row r="75" spans="1:9" outlineLevel="1" x14ac:dyDescent="0.25">
      <c r="A75" s="52"/>
      <c r="B75" s="45" t="s">
        <v>80</v>
      </c>
      <c r="C75" s="46" t="s">
        <v>81</v>
      </c>
      <c r="D75" s="35">
        <f>COUNTIF([2]Ecuador!$AB:$AB,"*ma*")</f>
        <v>22</v>
      </c>
      <c r="E75" s="38">
        <f t="shared" si="8"/>
        <v>0.66666666666666663</v>
      </c>
      <c r="F75" s="35"/>
    </row>
    <row r="76" spans="1:9" outlineLevel="1" x14ac:dyDescent="0.25">
      <c r="A76" s="52"/>
      <c r="B76" s="45" t="s">
        <v>82</v>
      </c>
      <c r="C76" s="46" t="s">
        <v>83</v>
      </c>
      <c r="D76" s="35">
        <f>COUNTIF([2]Ecuador!$AB:$AB,"*oa*")</f>
        <v>15</v>
      </c>
      <c r="E76" s="38">
        <f t="shared" si="8"/>
        <v>0.45454545454545453</v>
      </c>
      <c r="F76" s="35"/>
    </row>
    <row r="77" spans="1:9" outlineLevel="1" x14ac:dyDescent="0.25">
      <c r="A77" s="52"/>
      <c r="B77" s="45" t="s">
        <v>66</v>
      </c>
      <c r="C77" s="47" t="s">
        <v>85</v>
      </c>
      <c r="D77" s="35">
        <f>COUNTIF([2]Ecuador!$AB:$AB,"ns")</f>
        <v>2</v>
      </c>
      <c r="E77" s="38">
        <f t="shared" si="8"/>
        <v>6.0606060606060608E-2</v>
      </c>
      <c r="F77" s="35"/>
    </row>
    <row r="78" spans="1:9" outlineLevel="1" x14ac:dyDescent="0.25">
      <c r="A78" s="52"/>
      <c r="B78" s="45"/>
      <c r="C78" s="46" t="s">
        <v>191</v>
      </c>
      <c r="D78" s="35">
        <f>COUNTBLANK([2]Ecuador!AB$2:$AB$34)</f>
        <v>4</v>
      </c>
      <c r="E78" s="38">
        <f t="shared" si="8"/>
        <v>0.12121212121212122</v>
      </c>
      <c r="F78" s="35"/>
    </row>
    <row r="79" spans="1:9" outlineLevel="1" x14ac:dyDescent="0.25">
      <c r="A79" s="52"/>
      <c r="B79" s="45"/>
      <c r="C79" s="47"/>
      <c r="D79" s="35"/>
      <c r="E79" s="35"/>
      <c r="F79" s="35"/>
    </row>
    <row r="80" spans="1:9" outlineLevel="1" x14ac:dyDescent="0.25">
      <c r="A80" s="56" t="s">
        <v>148</v>
      </c>
      <c r="B80" s="56"/>
      <c r="C80" s="56" t="s">
        <v>148</v>
      </c>
      <c r="D80" s="57"/>
      <c r="E80" s="35"/>
      <c r="F80" s="35"/>
    </row>
    <row r="81" spans="1:9" outlineLevel="1" x14ac:dyDescent="0.25">
      <c r="A81" s="52"/>
      <c r="B81" s="45">
        <v>4</v>
      </c>
      <c r="C81" s="47" t="s">
        <v>153</v>
      </c>
      <c r="D81" s="35">
        <f>COUNTIF([2]Ecuador!$AE:$AE,"4")</f>
        <v>25</v>
      </c>
      <c r="E81" s="38">
        <f t="shared" ref="E81:E85" si="10">D81/$D$21</f>
        <v>0.75757575757575757</v>
      </c>
      <c r="F81" s="35"/>
    </row>
    <row r="82" spans="1:9" outlineLevel="1" x14ac:dyDescent="0.25">
      <c r="A82" s="52"/>
      <c r="B82" s="45">
        <v>3</v>
      </c>
      <c r="C82" s="47" t="s">
        <v>154</v>
      </c>
      <c r="D82" s="35">
        <f>COUNTIF([2]Ecuador!$AE:$AE,"3")</f>
        <v>1</v>
      </c>
      <c r="E82" s="38">
        <f t="shared" si="10"/>
        <v>3.0303030303030304E-2</v>
      </c>
      <c r="F82" s="35"/>
    </row>
    <row r="83" spans="1:9" outlineLevel="1" x14ac:dyDescent="0.25">
      <c r="A83" s="52"/>
      <c r="B83" s="45">
        <v>2</v>
      </c>
      <c r="C83" s="47" t="s">
        <v>155</v>
      </c>
      <c r="D83" s="35">
        <f>COUNTIF([2]Ecuador!$AE:$AE,"2")</f>
        <v>2</v>
      </c>
      <c r="E83" s="38">
        <f t="shared" si="10"/>
        <v>6.0606060606060608E-2</v>
      </c>
      <c r="F83" s="35"/>
    </row>
    <row r="84" spans="1:9" outlineLevel="1" x14ac:dyDescent="0.25">
      <c r="A84" s="52"/>
      <c r="B84" s="45">
        <v>1</v>
      </c>
      <c r="C84" s="47" t="s">
        <v>156</v>
      </c>
      <c r="D84" s="35">
        <f>COUNTIF([2]Ecuador!$AE:$AE,"1")</f>
        <v>1</v>
      </c>
      <c r="E84" s="38">
        <f t="shared" si="10"/>
        <v>3.0303030303030304E-2</v>
      </c>
      <c r="F84" s="35"/>
    </row>
    <row r="85" spans="1:9" outlineLevel="1" x14ac:dyDescent="0.25">
      <c r="A85" s="52"/>
      <c r="B85" s="45">
        <v>0</v>
      </c>
      <c r="C85" s="46" t="s">
        <v>158</v>
      </c>
      <c r="D85" s="35">
        <f>COUNTIF([2]Ecuador!$AE:$AE,"0")</f>
        <v>4</v>
      </c>
      <c r="E85" s="38">
        <f t="shared" si="10"/>
        <v>0.12121212121212122</v>
      </c>
      <c r="F85" s="35"/>
    </row>
    <row r="86" spans="1:9" x14ac:dyDescent="0.25">
      <c r="A86" s="52"/>
      <c r="B86" s="45"/>
      <c r="C86" s="46"/>
      <c r="D86" s="35">
        <f>SUM(D81:D85)</f>
        <v>33</v>
      </c>
      <c r="E86" s="35"/>
      <c r="F86" s="35"/>
    </row>
    <row r="87" spans="1:9" x14ac:dyDescent="0.25">
      <c r="A87" s="49" t="s">
        <v>130</v>
      </c>
      <c r="B87" s="49"/>
      <c r="C87" s="50" t="s">
        <v>129</v>
      </c>
      <c r="D87" s="35"/>
      <c r="E87" s="35"/>
      <c r="F87" s="35"/>
    </row>
    <row r="88" spans="1:9" ht="45" x14ac:dyDescent="0.25">
      <c r="A88" s="51" t="s">
        <v>131</v>
      </c>
      <c r="B88" s="51"/>
      <c r="C88" s="58" t="s">
        <v>132</v>
      </c>
      <c r="D88" s="35"/>
      <c r="E88" s="35"/>
      <c r="F88" s="35"/>
    </row>
    <row r="89" spans="1:9" x14ac:dyDescent="0.25">
      <c r="A89" s="52"/>
      <c r="B89" s="45">
        <v>1</v>
      </c>
      <c r="C89" s="46" t="s">
        <v>94</v>
      </c>
      <c r="D89" s="35">
        <f>COUNTIF([2]Ecuador!$AF:$AF,"*1*")+COUNTIF([2]Ecuador!$BW:$BW,"*1*")</f>
        <v>28</v>
      </c>
      <c r="E89" s="38">
        <f t="shared" ref="E89:E93" si="11">D89/$D$21</f>
        <v>0.84848484848484851</v>
      </c>
      <c r="F89" s="35"/>
      <c r="G89" s="36" t="s">
        <v>195</v>
      </c>
      <c r="H89" s="35">
        <f>COUNTIF([2]Ecuador!$AF:$AF,"1 2 3 4")</f>
        <v>4</v>
      </c>
      <c r="I89" s="38">
        <f t="shared" ref="I89" si="12">H89/$D$21</f>
        <v>0.12121212121212122</v>
      </c>
    </row>
    <row r="90" spans="1:9" x14ac:dyDescent="0.25">
      <c r="A90" s="52"/>
      <c r="B90" s="45">
        <v>2</v>
      </c>
      <c r="C90" s="46" t="s">
        <v>95</v>
      </c>
      <c r="D90" s="35">
        <f>COUNTIF([2]Ecuador!$AF:$AF,"*2*")+COUNTIF([2]Ecuador!$BW:$BW,"*2*")</f>
        <v>20</v>
      </c>
      <c r="E90" s="38">
        <f t="shared" si="11"/>
        <v>0.60606060606060608</v>
      </c>
      <c r="F90" s="35"/>
    </row>
    <row r="91" spans="1:9" x14ac:dyDescent="0.25">
      <c r="A91" s="52"/>
      <c r="B91" s="45">
        <v>3</v>
      </c>
      <c r="C91" s="46" t="s">
        <v>96</v>
      </c>
      <c r="D91" s="35">
        <f>COUNTIF([2]Ecuador!$AF:$AF,"*3*")+COUNTIF([2]Ecuador!$BW:$BW,"*3*")</f>
        <v>17</v>
      </c>
      <c r="E91" s="38">
        <f t="shared" si="11"/>
        <v>0.51515151515151514</v>
      </c>
      <c r="F91" s="35"/>
    </row>
    <row r="92" spans="1:9" x14ac:dyDescent="0.25">
      <c r="A92" s="52"/>
      <c r="B92" s="45">
        <v>4</v>
      </c>
      <c r="C92" s="46" t="s">
        <v>160</v>
      </c>
      <c r="D92" s="35">
        <f>COUNTIF([2]Ecuador!$AF:$AF,"*4*")+COUNTIF([2]Ecuador!$BW:$BW,"*4*")</f>
        <v>8</v>
      </c>
      <c r="E92" s="38">
        <f t="shared" si="11"/>
        <v>0.24242424242424243</v>
      </c>
      <c r="F92" s="35"/>
    </row>
    <row r="93" spans="1:9" x14ac:dyDescent="0.25">
      <c r="A93" s="52"/>
      <c r="B93" s="45">
        <v>0</v>
      </c>
      <c r="C93" s="46" t="s">
        <v>159</v>
      </c>
      <c r="D93" s="35">
        <f>COUNTIF([2]Ecuador!$AF:$AF,"0")+COUNTIF([2]Ecuador!$BW:$BW,"0")</f>
        <v>1</v>
      </c>
      <c r="E93" s="38">
        <f t="shared" si="11"/>
        <v>3.0303030303030304E-2</v>
      </c>
      <c r="F93" s="35"/>
    </row>
    <row r="94" spans="1:9" x14ac:dyDescent="0.25">
      <c r="A94" s="52"/>
      <c r="B94" s="45"/>
      <c r="C94" s="46"/>
      <c r="D94" s="35"/>
      <c r="E94" s="35"/>
      <c r="F94" s="35"/>
    </row>
    <row r="95" spans="1:9" x14ac:dyDescent="0.25">
      <c r="A95" s="51" t="s">
        <v>133</v>
      </c>
      <c r="B95" s="51"/>
      <c r="C95" s="59" t="s">
        <v>134</v>
      </c>
      <c r="D95" s="35"/>
      <c r="E95" s="35"/>
      <c r="F95" s="35"/>
    </row>
    <row r="96" spans="1:9" outlineLevel="1" x14ac:dyDescent="0.25">
      <c r="A96" s="52"/>
      <c r="B96" s="45" t="s">
        <v>53</v>
      </c>
      <c r="C96" s="46" t="s">
        <v>54</v>
      </c>
      <c r="D96" s="35">
        <f>COUNTIF([2]Ecuador!$AG:$AG,"*w*")</f>
        <v>32</v>
      </c>
      <c r="E96" s="38">
        <f t="shared" ref="E96:E102" si="13">D96/$D$21</f>
        <v>0.96969696969696972</v>
      </c>
      <c r="F96" s="35"/>
    </row>
    <row r="97" spans="1:9" outlineLevel="1" x14ac:dyDescent="0.25">
      <c r="A97" s="52"/>
      <c r="B97" s="45" t="s">
        <v>55</v>
      </c>
      <c r="C97" s="46" t="s">
        <v>56</v>
      </c>
      <c r="D97" s="35">
        <f>COUNTIF([2]Ecuador!$AG:$AG,"*g*")</f>
        <v>23</v>
      </c>
      <c r="E97" s="38">
        <f t="shared" si="13"/>
        <v>0.69696969696969702</v>
      </c>
      <c r="F97" s="35"/>
      <c r="G97" s="36" t="s">
        <v>192</v>
      </c>
      <c r="H97" s="35">
        <f>COUNTIF([2]Ecuador!$AG:$AG,"w g b m d")</f>
        <v>10</v>
      </c>
      <c r="I97" s="38">
        <f t="shared" ref="I97:I99" si="14">H97/$D$21</f>
        <v>0.30303030303030304</v>
      </c>
    </row>
    <row r="98" spans="1:9" outlineLevel="1" x14ac:dyDescent="0.25">
      <c r="A98" s="52"/>
      <c r="B98" s="45" t="s">
        <v>57</v>
      </c>
      <c r="C98" s="46" t="s">
        <v>58</v>
      </c>
      <c r="D98" s="35">
        <f>COUNTIF([2]Ecuador!$AG:$AG,"*b*")</f>
        <v>20</v>
      </c>
      <c r="E98" s="38">
        <f t="shared" si="13"/>
        <v>0.60606060606060608</v>
      </c>
      <c r="F98" s="35"/>
      <c r="G98" s="35" t="s">
        <v>193</v>
      </c>
      <c r="H98" s="35">
        <f>COUNTIF([2]Ecuador!$AG:$AG,"w g b m")</f>
        <v>6</v>
      </c>
      <c r="I98" s="38">
        <f t="shared" si="14"/>
        <v>0.18181818181818182</v>
      </c>
    </row>
    <row r="99" spans="1:9" outlineLevel="1" x14ac:dyDescent="0.25">
      <c r="A99" s="52"/>
      <c r="B99" s="45" t="s">
        <v>59</v>
      </c>
      <c r="C99" s="46" t="s">
        <v>60</v>
      </c>
      <c r="D99" s="35">
        <f>COUNTIF([2]Ecuador!$AG:$AG,"*m*")</f>
        <v>26</v>
      </c>
      <c r="E99" s="38">
        <f t="shared" si="13"/>
        <v>0.78787878787878785</v>
      </c>
      <c r="F99" s="35"/>
      <c r="G99" s="35" t="s">
        <v>194</v>
      </c>
      <c r="H99" s="35">
        <f>COUNTIF([2]Ecuador!$AG:$AG,"d")</f>
        <v>0</v>
      </c>
      <c r="I99" s="38">
        <f t="shared" si="14"/>
        <v>0</v>
      </c>
    </row>
    <row r="100" spans="1:9" outlineLevel="1" x14ac:dyDescent="0.25">
      <c r="A100" s="52"/>
      <c r="B100" s="45" t="s">
        <v>61</v>
      </c>
      <c r="C100" s="46" t="s">
        <v>62</v>
      </c>
      <c r="D100" s="35">
        <f>COUNTIF([2]Ecuador!$AG:$AG,"*d*")</f>
        <v>17</v>
      </c>
      <c r="E100" s="38">
        <f t="shared" si="13"/>
        <v>0.51515151515151514</v>
      </c>
      <c r="F100" s="35"/>
    </row>
    <row r="101" spans="1:9" outlineLevel="1" x14ac:dyDescent="0.25">
      <c r="A101" s="52"/>
      <c r="B101" s="45" t="s">
        <v>66</v>
      </c>
      <c r="C101" s="46" t="s">
        <v>67</v>
      </c>
      <c r="D101" s="35">
        <f>COUNTIF([2]Ecuador!$AG:$AG,"ns")</f>
        <v>0</v>
      </c>
      <c r="E101" s="38">
        <f t="shared" si="13"/>
        <v>0</v>
      </c>
      <c r="F101" s="35"/>
    </row>
    <row r="102" spans="1:9" outlineLevel="1" x14ac:dyDescent="0.25">
      <c r="A102" s="52"/>
      <c r="B102" s="45"/>
      <c r="C102" s="46" t="s">
        <v>191</v>
      </c>
      <c r="D102" s="35">
        <f>COUNTBLANK([2]Ecuador!AG$2:$AG$34)</f>
        <v>1</v>
      </c>
      <c r="E102" s="38">
        <f t="shared" si="13"/>
        <v>3.0303030303030304E-2</v>
      </c>
      <c r="F102" s="35"/>
    </row>
    <row r="103" spans="1:9" x14ac:dyDescent="0.25">
      <c r="A103" s="52"/>
      <c r="B103" s="45"/>
      <c r="C103" s="46"/>
      <c r="D103" s="35"/>
      <c r="E103" s="35"/>
      <c r="F103" s="35"/>
    </row>
    <row r="104" spans="1:9" ht="30" x14ac:dyDescent="0.25">
      <c r="A104" s="51" t="s">
        <v>136</v>
      </c>
      <c r="B104" s="51"/>
      <c r="C104" s="55" t="s">
        <v>135</v>
      </c>
      <c r="D104" s="35"/>
      <c r="E104" s="35"/>
      <c r="F104" s="35"/>
    </row>
    <row r="105" spans="1:9" outlineLevel="1" x14ac:dyDescent="0.25">
      <c r="A105" s="52"/>
      <c r="B105" s="45" t="s">
        <v>72</v>
      </c>
      <c r="C105" s="46" t="s">
        <v>73</v>
      </c>
      <c r="D105" s="35">
        <f>COUNTIF([2]Ecuador!$AH:$AH,"*yc*")</f>
        <v>12</v>
      </c>
      <c r="E105" s="38">
        <f t="shared" ref="E105:E112" si="15">D105/$D$21</f>
        <v>0.36363636363636365</v>
      </c>
      <c r="F105" s="35"/>
      <c r="G105" s="36" t="s">
        <v>195</v>
      </c>
      <c r="H105" s="35">
        <f>COUNTIF([2]Ecuador!$AH:$AH,"*YC ch ad ya ma oa*")</f>
        <v>7</v>
      </c>
      <c r="I105" s="38">
        <f t="shared" ref="I105" si="16">H105/$D$21</f>
        <v>0.21212121212121213</v>
      </c>
    </row>
    <row r="106" spans="1:9" outlineLevel="1" x14ac:dyDescent="0.25">
      <c r="A106" s="52"/>
      <c r="B106" s="45" t="s">
        <v>74</v>
      </c>
      <c r="C106" s="46" t="s">
        <v>75</v>
      </c>
      <c r="D106" s="35">
        <f>COUNTIF([2]Ecuador!$AH:$AH,"*ch*")</f>
        <v>17</v>
      </c>
      <c r="E106" s="38">
        <f t="shared" si="15"/>
        <v>0.51515151515151514</v>
      </c>
      <c r="F106" s="35"/>
    </row>
    <row r="107" spans="1:9" outlineLevel="1" x14ac:dyDescent="0.25">
      <c r="A107" s="52"/>
      <c r="B107" s="45" t="s">
        <v>76</v>
      </c>
      <c r="C107" s="46" t="s">
        <v>77</v>
      </c>
      <c r="D107" s="35">
        <f>COUNTIF([2]Ecuador!$AH:$AH,"*ad*")</f>
        <v>23</v>
      </c>
      <c r="E107" s="38">
        <f t="shared" si="15"/>
        <v>0.69696969696969702</v>
      </c>
      <c r="F107" s="35"/>
    </row>
    <row r="108" spans="1:9" outlineLevel="1" x14ac:dyDescent="0.25">
      <c r="A108" s="52"/>
      <c r="B108" s="45" t="s">
        <v>78</v>
      </c>
      <c r="C108" s="46" t="s">
        <v>79</v>
      </c>
      <c r="D108" s="35">
        <f>COUNTIF([2]Ecuador!$AH:$AH,"*ya*")</f>
        <v>26</v>
      </c>
      <c r="E108" s="38">
        <f t="shared" si="15"/>
        <v>0.78787878787878785</v>
      </c>
      <c r="F108" s="35"/>
    </row>
    <row r="109" spans="1:9" outlineLevel="1" x14ac:dyDescent="0.25">
      <c r="A109" s="52"/>
      <c r="B109" s="45" t="s">
        <v>80</v>
      </c>
      <c r="C109" s="46" t="s">
        <v>81</v>
      </c>
      <c r="D109" s="35">
        <f>COUNTIF([2]Ecuador!$AH:$AH,"*ma*")</f>
        <v>24</v>
      </c>
      <c r="E109" s="38">
        <f t="shared" si="15"/>
        <v>0.72727272727272729</v>
      </c>
      <c r="F109" s="35"/>
    </row>
    <row r="110" spans="1:9" outlineLevel="1" x14ac:dyDescent="0.25">
      <c r="A110" s="52"/>
      <c r="B110" s="45" t="s">
        <v>82</v>
      </c>
      <c r="C110" s="46" t="s">
        <v>83</v>
      </c>
      <c r="D110" s="35">
        <f>COUNTIF([2]Ecuador!$AH:$AH,"*oa*")</f>
        <v>13</v>
      </c>
      <c r="E110" s="38">
        <f t="shared" si="15"/>
        <v>0.39393939393939392</v>
      </c>
      <c r="F110" s="35"/>
    </row>
    <row r="111" spans="1:9" outlineLevel="1" x14ac:dyDescent="0.25">
      <c r="A111" s="52"/>
      <c r="B111" s="45" t="s">
        <v>66</v>
      </c>
      <c r="C111" s="47" t="s">
        <v>85</v>
      </c>
      <c r="D111" s="35">
        <f>COUNTIF([2]Ecuador!$AH:$AH,"ns")</f>
        <v>2</v>
      </c>
      <c r="E111" s="38">
        <f t="shared" si="15"/>
        <v>6.0606060606060608E-2</v>
      </c>
      <c r="F111" s="35"/>
    </row>
    <row r="112" spans="1:9" outlineLevel="1" x14ac:dyDescent="0.25">
      <c r="A112" s="52"/>
      <c r="B112" s="45"/>
      <c r="C112" s="46" t="s">
        <v>191</v>
      </c>
      <c r="D112" s="35">
        <f>COUNTBLANK([2]Ecuador!AH$2:$AH$34)-1</f>
        <v>0</v>
      </c>
      <c r="E112" s="38">
        <f t="shared" si="15"/>
        <v>0</v>
      </c>
      <c r="F112" s="35"/>
    </row>
    <row r="113" spans="1:8" outlineLevel="1" x14ac:dyDescent="0.25">
      <c r="A113" s="52"/>
      <c r="B113" s="45"/>
      <c r="C113" s="46"/>
      <c r="D113" s="35"/>
      <c r="E113" s="38"/>
      <c r="F113" s="35"/>
    </row>
    <row r="114" spans="1:8" outlineLevel="1" x14ac:dyDescent="0.25">
      <c r="A114" s="56" t="s">
        <v>150</v>
      </c>
      <c r="B114" s="56"/>
      <c r="C114" s="56" t="s">
        <v>150</v>
      </c>
      <c r="D114" s="57"/>
      <c r="E114" s="35"/>
      <c r="F114" s="35"/>
    </row>
    <row r="115" spans="1:8" outlineLevel="1" x14ac:dyDescent="0.25">
      <c r="A115" s="52"/>
      <c r="B115" s="45">
        <v>4</v>
      </c>
      <c r="C115" s="47" t="s">
        <v>153</v>
      </c>
      <c r="D115" s="35">
        <f>COUNTIF([2]Ecuador!$AK:$AK,"4")+COUNTIF([2]Ecuador!$CB:$CB,"4")</f>
        <v>30</v>
      </c>
      <c r="E115" s="38">
        <f t="shared" ref="E115:E119" si="17">D115/$D$21</f>
        <v>0.90909090909090906</v>
      </c>
      <c r="F115" s="35"/>
    </row>
    <row r="116" spans="1:8" outlineLevel="1" x14ac:dyDescent="0.25">
      <c r="A116" s="52"/>
      <c r="B116" s="45">
        <v>3</v>
      </c>
      <c r="C116" s="47" t="s">
        <v>154</v>
      </c>
      <c r="D116" s="35">
        <f>COUNTIF([2]Ecuador!$AK:$AK,"3")+COUNTIF([2]Ecuador!$CB:$CB,"3")</f>
        <v>2</v>
      </c>
      <c r="E116" s="38">
        <f t="shared" si="17"/>
        <v>6.0606060606060608E-2</v>
      </c>
      <c r="F116" s="35"/>
    </row>
    <row r="117" spans="1:8" outlineLevel="1" x14ac:dyDescent="0.25">
      <c r="A117" s="52"/>
      <c r="B117" s="45">
        <v>2</v>
      </c>
      <c r="C117" s="47" t="s">
        <v>155</v>
      </c>
      <c r="D117" s="35">
        <f>COUNTIF([2]Ecuador!$AK:$AK,"2")+COUNTIF([2]Ecuador!$CB:$CB,"2")</f>
        <v>0</v>
      </c>
      <c r="E117" s="38">
        <f t="shared" si="17"/>
        <v>0</v>
      </c>
      <c r="F117" s="35"/>
    </row>
    <row r="118" spans="1:8" outlineLevel="1" x14ac:dyDescent="0.25">
      <c r="A118" s="52"/>
      <c r="B118" s="45">
        <v>1</v>
      </c>
      <c r="C118" s="47" t="s">
        <v>156</v>
      </c>
      <c r="D118" s="35">
        <f>COUNTIF([2]Ecuador!$AK:$AK,"1")+COUNTIF([2]Ecuador!$CB:$CB,"1")</f>
        <v>0</v>
      </c>
      <c r="E118" s="38">
        <f t="shared" si="17"/>
        <v>0</v>
      </c>
      <c r="F118" s="35"/>
    </row>
    <row r="119" spans="1:8" outlineLevel="1" x14ac:dyDescent="0.25">
      <c r="A119" s="52"/>
      <c r="B119" s="45">
        <v>0</v>
      </c>
      <c r="C119" s="46" t="s">
        <v>166</v>
      </c>
      <c r="D119" s="35">
        <f>COUNTIF([2]Ecuador!$AK:$AK,"0")+COUNTIF([2]Ecuador!$CB:$CB,"0")</f>
        <v>1</v>
      </c>
      <c r="E119" s="38">
        <f t="shared" si="17"/>
        <v>3.0303030303030304E-2</v>
      </c>
      <c r="F119" s="35"/>
    </row>
    <row r="120" spans="1:8" x14ac:dyDescent="0.25">
      <c r="A120" s="52"/>
      <c r="B120" s="45"/>
      <c r="C120" s="46"/>
      <c r="D120" s="35">
        <f>SUM(D115:D119)</f>
        <v>33</v>
      </c>
      <c r="E120" s="35"/>
      <c r="F120" s="35"/>
    </row>
    <row r="121" spans="1:8" x14ac:dyDescent="0.25">
      <c r="A121" s="49" t="s">
        <v>98</v>
      </c>
      <c r="B121" s="49"/>
      <c r="C121" s="50" t="s">
        <v>137</v>
      </c>
      <c r="D121" s="35"/>
      <c r="E121" s="35"/>
      <c r="F121" s="35"/>
    </row>
    <row r="122" spans="1:8" ht="30" x14ac:dyDescent="0.25">
      <c r="A122" s="51" t="s">
        <v>138</v>
      </c>
      <c r="B122" s="51"/>
      <c r="C122" s="58" t="s">
        <v>139</v>
      </c>
      <c r="D122" s="35"/>
      <c r="E122" s="35"/>
      <c r="F122" s="35"/>
    </row>
    <row r="123" spans="1:8" x14ac:dyDescent="0.25">
      <c r="A123" s="52"/>
      <c r="B123" s="45">
        <v>3</v>
      </c>
      <c r="C123" s="46" t="s">
        <v>161</v>
      </c>
      <c r="D123" s="35">
        <f>COUNTIF([2]Ecuador!$AL:$AL,"3")</f>
        <v>7</v>
      </c>
      <c r="E123" s="38">
        <f t="shared" ref="E123:E129" si="18">D123/$D$21</f>
        <v>0.21212121212121213</v>
      </c>
      <c r="F123" s="35"/>
      <c r="H123" s="35"/>
    </row>
    <row r="124" spans="1:8" x14ac:dyDescent="0.25">
      <c r="A124" s="52"/>
      <c r="B124" s="45">
        <v>2</v>
      </c>
      <c r="C124" s="46" t="s">
        <v>162</v>
      </c>
      <c r="D124" s="35">
        <f>COUNTIF([2]Ecuador!$AL:$AL,"2")</f>
        <v>7</v>
      </c>
      <c r="E124" s="38">
        <f t="shared" si="18"/>
        <v>0.21212121212121213</v>
      </c>
      <c r="F124" s="35"/>
    </row>
    <row r="125" spans="1:8" ht="30" x14ac:dyDescent="0.25">
      <c r="A125" s="52"/>
      <c r="B125" s="45" t="s">
        <v>185</v>
      </c>
      <c r="C125" s="46" t="s">
        <v>186</v>
      </c>
      <c r="D125" s="35">
        <f>COUNTIF([2]Ecuador!$AL:$AL,"3 2")</f>
        <v>18</v>
      </c>
      <c r="E125" s="38">
        <f t="shared" si="18"/>
        <v>0.54545454545454541</v>
      </c>
      <c r="F125" s="35"/>
    </row>
    <row r="126" spans="1:8" x14ac:dyDescent="0.25">
      <c r="A126" s="52"/>
      <c r="B126" s="45" t="s">
        <v>234</v>
      </c>
      <c r="C126" s="46" t="s">
        <v>235</v>
      </c>
      <c r="D126" s="35">
        <f>COUNTIF([2]Ecuador!$AL:$AL,"3 1")</f>
        <v>0</v>
      </c>
      <c r="E126" s="38">
        <f t="shared" si="18"/>
        <v>0</v>
      </c>
      <c r="F126" s="35"/>
    </row>
    <row r="127" spans="1:8" x14ac:dyDescent="0.25">
      <c r="A127" s="52"/>
      <c r="B127" s="45">
        <v>1</v>
      </c>
      <c r="C127" s="46" t="s">
        <v>164</v>
      </c>
      <c r="D127" s="35">
        <f>COUNTIF([2]Ecuador!$AL:$AL,"1")</f>
        <v>0</v>
      </c>
      <c r="E127" s="38">
        <f t="shared" si="18"/>
        <v>0</v>
      </c>
      <c r="F127" s="35"/>
    </row>
    <row r="128" spans="1:8" x14ac:dyDescent="0.25">
      <c r="A128" s="52"/>
      <c r="B128" s="45">
        <v>0</v>
      </c>
      <c r="C128" s="46" t="s">
        <v>163</v>
      </c>
      <c r="D128" s="35">
        <f>COUNTIF([2]Ecuador!$AL:$AL,"0")</f>
        <v>1</v>
      </c>
      <c r="E128" s="38">
        <f t="shared" si="18"/>
        <v>3.0303030303030304E-2</v>
      </c>
      <c r="F128" s="35"/>
    </row>
    <row r="129" spans="1:9" x14ac:dyDescent="0.25">
      <c r="A129" s="52"/>
      <c r="B129" s="45"/>
      <c r="C129" s="46"/>
      <c r="D129" s="35">
        <f>SUM(D123:D128)</f>
        <v>33</v>
      </c>
      <c r="E129" s="38">
        <f t="shared" si="18"/>
        <v>1</v>
      </c>
      <c r="F129" s="35"/>
    </row>
    <row r="130" spans="1:9" x14ac:dyDescent="0.25">
      <c r="A130" s="52"/>
      <c r="B130" s="45"/>
      <c r="C130" s="46"/>
      <c r="D130" s="35"/>
      <c r="E130" s="35"/>
      <c r="F130" s="35"/>
    </row>
    <row r="131" spans="1:9" x14ac:dyDescent="0.25">
      <c r="A131" s="51" t="s">
        <v>140</v>
      </c>
      <c r="B131" s="51"/>
      <c r="C131" s="59" t="s">
        <v>141</v>
      </c>
      <c r="D131" s="35"/>
      <c r="E131" s="35"/>
      <c r="F131" s="35"/>
    </row>
    <row r="132" spans="1:9" outlineLevel="1" x14ac:dyDescent="0.25">
      <c r="A132" s="52"/>
      <c r="B132" s="45" t="s">
        <v>53</v>
      </c>
      <c r="C132" s="46" t="s">
        <v>54</v>
      </c>
      <c r="D132" s="35">
        <f>COUNTIF([2]Ecuador!$AM:$AM,"*w*")</f>
        <v>30</v>
      </c>
      <c r="E132" s="38">
        <f t="shared" ref="E132:E140" si="19">D132/$D$21</f>
        <v>0.90909090909090906</v>
      </c>
      <c r="F132" s="35"/>
      <c r="G132" s="36" t="s">
        <v>192</v>
      </c>
      <c r="H132" s="35">
        <f>COUNTIF([2]Ecuador!$AM:$AM,"w g b m d")</f>
        <v>11</v>
      </c>
      <c r="I132" s="38">
        <f t="shared" ref="I132:I134" si="20">H132/$D$21</f>
        <v>0.33333333333333331</v>
      </c>
    </row>
    <row r="133" spans="1:9" outlineLevel="1" x14ac:dyDescent="0.25">
      <c r="A133" s="52"/>
      <c r="B133" s="45" t="s">
        <v>55</v>
      </c>
      <c r="C133" s="46" t="s">
        <v>56</v>
      </c>
      <c r="D133" s="35">
        <f>COUNTIF([2]Ecuador!$AM:$AM,"*g*")</f>
        <v>23</v>
      </c>
      <c r="E133" s="38">
        <f t="shared" si="19"/>
        <v>0.69696969696969702</v>
      </c>
      <c r="F133" s="35"/>
      <c r="G133" s="35" t="s">
        <v>193</v>
      </c>
      <c r="H133" s="35">
        <f>COUNTIF([2]Ecuador!$AM:$AM,"w g b m")</f>
        <v>6</v>
      </c>
      <c r="I133" s="38">
        <f t="shared" si="20"/>
        <v>0.18181818181818182</v>
      </c>
    </row>
    <row r="134" spans="1:9" outlineLevel="1" x14ac:dyDescent="0.25">
      <c r="A134" s="52"/>
      <c r="B134" s="45" t="s">
        <v>57</v>
      </c>
      <c r="C134" s="46" t="s">
        <v>58</v>
      </c>
      <c r="D134" s="35">
        <f>COUNTIF([2]Ecuador!$AM:$AM,"*b*")</f>
        <v>20</v>
      </c>
      <c r="E134" s="38">
        <f t="shared" si="19"/>
        <v>0.60606060606060608</v>
      </c>
      <c r="F134" s="35"/>
      <c r="G134" s="35" t="s">
        <v>194</v>
      </c>
      <c r="H134" s="35">
        <f>COUNTIF([2]Ecuador!$AM:$AM,"d")</f>
        <v>0</v>
      </c>
      <c r="I134" s="39">
        <f t="shared" si="20"/>
        <v>0</v>
      </c>
    </row>
    <row r="135" spans="1:9" outlineLevel="1" x14ac:dyDescent="0.25">
      <c r="A135" s="52"/>
      <c r="B135" s="45" t="s">
        <v>59</v>
      </c>
      <c r="C135" s="46" t="s">
        <v>60</v>
      </c>
      <c r="D135" s="35">
        <f>COUNTIF([2]Ecuador!$AM:$AM,"*m*")</f>
        <v>25</v>
      </c>
      <c r="E135" s="38">
        <f t="shared" si="19"/>
        <v>0.75757575757575757</v>
      </c>
      <c r="F135" s="35"/>
    </row>
    <row r="136" spans="1:9" outlineLevel="1" x14ac:dyDescent="0.25">
      <c r="A136" s="52"/>
      <c r="B136" s="45" t="s">
        <v>61</v>
      </c>
      <c r="C136" s="46" t="s">
        <v>62</v>
      </c>
      <c r="D136" s="35">
        <f>COUNTIF([2]Ecuador!$AM:$AM,"*d*")</f>
        <v>16</v>
      </c>
      <c r="E136" s="38">
        <f t="shared" si="19"/>
        <v>0.48484848484848486</v>
      </c>
      <c r="F136" s="35"/>
    </row>
    <row r="137" spans="1:9" x14ac:dyDescent="0.25">
      <c r="A137" s="52"/>
      <c r="B137" s="45" t="s">
        <v>63</v>
      </c>
      <c r="C137" s="46" t="s">
        <v>176</v>
      </c>
      <c r="D137" s="35">
        <f>COUNTIF([2]Ecuador!$AM:$AM,"sgi")</f>
        <v>0</v>
      </c>
      <c r="E137" s="38">
        <f t="shared" si="19"/>
        <v>0</v>
      </c>
      <c r="F137" s="35"/>
    </row>
    <row r="138" spans="1:9" x14ac:dyDescent="0.25">
      <c r="A138" s="52"/>
      <c r="B138" s="45" t="s">
        <v>64</v>
      </c>
      <c r="C138" s="46" t="s">
        <v>65</v>
      </c>
      <c r="D138" s="35">
        <f>COUNTIF([2]Ecuador!$AM:$AM,"sgp")</f>
        <v>0</v>
      </c>
      <c r="E138" s="38">
        <f t="shared" si="19"/>
        <v>0</v>
      </c>
      <c r="F138" s="35"/>
    </row>
    <row r="139" spans="1:9" outlineLevel="1" x14ac:dyDescent="0.25">
      <c r="A139" s="52"/>
      <c r="B139" s="45" t="s">
        <v>66</v>
      </c>
      <c r="C139" s="46" t="s">
        <v>67</v>
      </c>
      <c r="D139" s="35">
        <f>COUNTIF([2]Ecuador!$AM:$AM,"ns")</f>
        <v>1</v>
      </c>
      <c r="E139" s="38">
        <f t="shared" si="19"/>
        <v>3.0303030303030304E-2</v>
      </c>
      <c r="F139" s="35"/>
    </row>
    <row r="140" spans="1:9" outlineLevel="1" x14ac:dyDescent="0.25">
      <c r="A140" s="52"/>
      <c r="B140" s="45"/>
      <c r="C140" s="46" t="s">
        <v>191</v>
      </c>
      <c r="D140" s="35">
        <f>COUNTBLANK([2]Ecuador!AM$2:$AM$34)</f>
        <v>1</v>
      </c>
      <c r="E140" s="38">
        <f t="shared" si="19"/>
        <v>3.0303030303030304E-2</v>
      </c>
      <c r="F140" s="35"/>
    </row>
    <row r="141" spans="1:9" x14ac:dyDescent="0.25">
      <c r="A141" s="52"/>
      <c r="B141" s="45"/>
      <c r="C141" s="46"/>
      <c r="D141" s="35"/>
      <c r="E141" s="35"/>
      <c r="F141" s="35"/>
    </row>
    <row r="142" spans="1:9" x14ac:dyDescent="0.25">
      <c r="A142" s="51" t="s">
        <v>142</v>
      </c>
      <c r="B142" s="51"/>
      <c r="C142" s="59" t="s">
        <v>143</v>
      </c>
      <c r="D142" s="35"/>
      <c r="E142" s="35"/>
      <c r="F142" s="35"/>
    </row>
    <row r="143" spans="1:9" outlineLevel="1" x14ac:dyDescent="0.25">
      <c r="A143" s="52"/>
      <c r="B143" s="45" t="s">
        <v>72</v>
      </c>
      <c r="C143" s="46" t="s">
        <v>73</v>
      </c>
      <c r="D143" s="35">
        <f>COUNTIF([2]Ecuador!$AN:$AN,"*YC*")</f>
        <v>14</v>
      </c>
      <c r="E143" s="38">
        <f t="shared" ref="E143:E152" si="21">D143/$D$21</f>
        <v>0.42424242424242425</v>
      </c>
      <c r="F143" s="35"/>
      <c r="G143" s="36" t="s">
        <v>195</v>
      </c>
      <c r="H143" s="35">
        <f>COUNTIF([2]Ecuador!$AN:$AN,"*YC ch ad ya ma oa*")</f>
        <v>5</v>
      </c>
      <c r="I143" s="38">
        <f t="shared" ref="I143" si="22">H143/$D$21</f>
        <v>0.15151515151515152</v>
      </c>
    </row>
    <row r="144" spans="1:9" outlineLevel="1" x14ac:dyDescent="0.25">
      <c r="A144" s="52"/>
      <c r="B144" s="45" t="s">
        <v>74</v>
      </c>
      <c r="C144" s="46" t="s">
        <v>75</v>
      </c>
      <c r="D144" s="35">
        <f>COUNTIF([2]Ecuador!$AN:$AN,"*ch*")</f>
        <v>19</v>
      </c>
      <c r="E144" s="38">
        <f t="shared" si="21"/>
        <v>0.5757575757575758</v>
      </c>
      <c r="F144" s="35"/>
    </row>
    <row r="145" spans="1:6" outlineLevel="1" x14ac:dyDescent="0.25">
      <c r="A145" s="52"/>
      <c r="B145" s="45" t="s">
        <v>76</v>
      </c>
      <c r="C145" s="46" t="s">
        <v>77</v>
      </c>
      <c r="D145" s="35">
        <f>COUNTIF([2]Ecuador!$AN:$AN,"*ad*")</f>
        <v>23</v>
      </c>
      <c r="E145" s="38">
        <f t="shared" si="21"/>
        <v>0.69696969696969702</v>
      </c>
      <c r="F145" s="35"/>
    </row>
    <row r="146" spans="1:6" outlineLevel="1" x14ac:dyDescent="0.25">
      <c r="A146" s="52"/>
      <c r="B146" s="45" t="s">
        <v>78</v>
      </c>
      <c r="C146" s="46" t="s">
        <v>79</v>
      </c>
      <c r="D146" s="35">
        <f>COUNTIF([2]Ecuador!$AN:$AN,"*ya*")</f>
        <v>19</v>
      </c>
      <c r="E146" s="38">
        <f t="shared" si="21"/>
        <v>0.5757575757575758</v>
      </c>
      <c r="F146" s="35"/>
    </row>
    <row r="147" spans="1:6" outlineLevel="1" x14ac:dyDescent="0.25">
      <c r="A147" s="52"/>
      <c r="B147" s="45" t="s">
        <v>80</v>
      </c>
      <c r="C147" s="46" t="s">
        <v>81</v>
      </c>
      <c r="D147" s="35">
        <f>COUNTIF([2]Ecuador!$AN:$AN,"*ma*")</f>
        <v>20</v>
      </c>
      <c r="E147" s="38">
        <f t="shared" si="21"/>
        <v>0.60606060606060608</v>
      </c>
      <c r="F147" s="35"/>
    </row>
    <row r="148" spans="1:6" outlineLevel="1" x14ac:dyDescent="0.25">
      <c r="A148" s="52"/>
      <c r="B148" s="45" t="s">
        <v>82</v>
      </c>
      <c r="C148" s="46" t="s">
        <v>83</v>
      </c>
      <c r="D148" s="35">
        <f>COUNTIF([2]Ecuador!$AN:$AN,"*oa*")</f>
        <v>17</v>
      </c>
      <c r="E148" s="38">
        <f t="shared" si="21"/>
        <v>0.51515151515151514</v>
      </c>
      <c r="F148" s="35"/>
    </row>
    <row r="149" spans="1:6" x14ac:dyDescent="0.25">
      <c r="A149" s="52"/>
      <c r="B149" s="45" t="s">
        <v>63</v>
      </c>
      <c r="C149" s="46" t="s">
        <v>176</v>
      </c>
      <c r="D149" s="35">
        <f>COUNTIF([2]Ecuador!$AN:$AN,"sgi")</f>
        <v>1</v>
      </c>
      <c r="E149" s="38">
        <f t="shared" si="21"/>
        <v>3.0303030303030304E-2</v>
      </c>
      <c r="F149" s="35"/>
    </row>
    <row r="150" spans="1:6" x14ac:dyDescent="0.25">
      <c r="A150" s="52"/>
      <c r="B150" s="45" t="s">
        <v>64</v>
      </c>
      <c r="C150" s="46" t="s">
        <v>84</v>
      </c>
      <c r="D150" s="35">
        <f>COUNTIF([2]Ecuador!$AN:$AN,"sgp")</f>
        <v>1</v>
      </c>
      <c r="E150" s="38">
        <f t="shared" si="21"/>
        <v>3.0303030303030304E-2</v>
      </c>
      <c r="F150" s="35"/>
    </row>
    <row r="151" spans="1:6" outlineLevel="1" x14ac:dyDescent="0.25">
      <c r="A151" s="52"/>
      <c r="B151" s="45" t="s">
        <v>66</v>
      </c>
      <c r="C151" s="47" t="s">
        <v>85</v>
      </c>
      <c r="D151" s="35">
        <f>COUNTIF([2]Ecuador!$AN:$AN,"ns")</f>
        <v>1</v>
      </c>
      <c r="E151" s="38">
        <f t="shared" si="21"/>
        <v>3.0303030303030304E-2</v>
      </c>
      <c r="F151" s="35"/>
    </row>
    <row r="152" spans="1:6" outlineLevel="1" x14ac:dyDescent="0.25">
      <c r="A152" s="52"/>
      <c r="B152" s="45"/>
      <c r="C152" s="46" t="s">
        <v>191</v>
      </c>
      <c r="D152" s="35">
        <f>COUNTBLANK([2]Ecuador!AN$2:$AN$34)</f>
        <v>1</v>
      </c>
      <c r="E152" s="38">
        <f t="shared" si="21"/>
        <v>3.0303030303030304E-2</v>
      </c>
      <c r="F152" s="35"/>
    </row>
    <row r="153" spans="1:6" x14ac:dyDescent="0.25">
      <c r="A153" s="52"/>
      <c r="B153" s="45"/>
      <c r="C153" s="46"/>
      <c r="D153" s="35"/>
      <c r="E153" s="38"/>
      <c r="F153" s="35"/>
    </row>
    <row r="154" spans="1:6" x14ac:dyDescent="0.25">
      <c r="A154" s="56" t="s">
        <v>149</v>
      </c>
      <c r="B154" s="56"/>
      <c r="C154" s="56" t="s">
        <v>149</v>
      </c>
      <c r="D154" s="57"/>
      <c r="E154" s="35"/>
      <c r="F154" s="35"/>
    </row>
    <row r="155" spans="1:6" x14ac:dyDescent="0.25">
      <c r="A155" s="52"/>
      <c r="B155" s="45">
        <v>4</v>
      </c>
      <c r="C155" s="47" t="s">
        <v>153</v>
      </c>
      <c r="D155" s="35">
        <f>COUNTIF([2]Ecuador!$AQ:$AQ,"4")</f>
        <v>29</v>
      </c>
      <c r="E155" s="38">
        <f t="shared" ref="E155:E159" si="23">D155/$D$21</f>
        <v>0.87878787878787878</v>
      </c>
      <c r="F155" s="35"/>
    </row>
    <row r="156" spans="1:6" x14ac:dyDescent="0.25">
      <c r="A156" s="52"/>
      <c r="B156" s="45">
        <v>3</v>
      </c>
      <c r="C156" s="47" t="s">
        <v>154</v>
      </c>
      <c r="D156" s="35">
        <f>COUNTIF([2]Ecuador!$AQ:$AQ,"3")</f>
        <v>1</v>
      </c>
      <c r="E156" s="38">
        <f t="shared" si="23"/>
        <v>3.0303030303030304E-2</v>
      </c>
      <c r="F156" s="35"/>
    </row>
    <row r="157" spans="1:6" x14ac:dyDescent="0.25">
      <c r="A157" s="52"/>
      <c r="B157" s="45">
        <v>2</v>
      </c>
      <c r="C157" s="47" t="s">
        <v>155</v>
      </c>
      <c r="D157" s="35">
        <f>COUNTIF([2]Ecuador!$AQ:$AQ,"2")</f>
        <v>1</v>
      </c>
      <c r="E157" s="38">
        <f t="shared" si="23"/>
        <v>3.0303030303030304E-2</v>
      </c>
      <c r="F157" s="35"/>
    </row>
    <row r="158" spans="1:6" x14ac:dyDescent="0.25">
      <c r="A158" s="52"/>
      <c r="B158" s="45">
        <v>1</v>
      </c>
      <c r="C158" s="47" t="s">
        <v>156</v>
      </c>
      <c r="D158" s="35">
        <f>COUNTIF([2]Ecuador!$AQ:$AQ,"1")</f>
        <v>1</v>
      </c>
      <c r="E158" s="38">
        <f t="shared" si="23"/>
        <v>3.0303030303030304E-2</v>
      </c>
      <c r="F158" s="35"/>
    </row>
    <row r="159" spans="1:6" x14ac:dyDescent="0.25">
      <c r="A159" s="52"/>
      <c r="B159" s="45">
        <v>0</v>
      </c>
      <c r="C159" s="46" t="s">
        <v>165</v>
      </c>
      <c r="D159" s="35">
        <f>COUNTIF([2]Ecuador!$AQ:$AQ,"0")</f>
        <v>1</v>
      </c>
      <c r="E159" s="38">
        <f t="shared" si="23"/>
        <v>3.0303030303030304E-2</v>
      </c>
      <c r="F159" s="35"/>
    </row>
    <row r="160" spans="1:6" x14ac:dyDescent="0.25">
      <c r="A160" s="52"/>
      <c r="B160" s="45"/>
      <c r="C160" s="46"/>
      <c r="D160" s="35">
        <f>SUM(D155:D159)</f>
        <v>33</v>
      </c>
      <c r="E160" s="38"/>
      <c r="F160" s="35"/>
    </row>
    <row r="161" spans="1:6" x14ac:dyDescent="0.25">
      <c r="A161" s="52"/>
      <c r="B161" s="52"/>
      <c r="C161" s="46"/>
      <c r="D161" s="35"/>
      <c r="E161" s="35"/>
      <c r="F161" s="35"/>
    </row>
    <row r="162" spans="1:6" x14ac:dyDescent="0.25">
      <c r="A162" s="56" t="s">
        <v>168</v>
      </c>
      <c r="B162" s="56"/>
      <c r="C162" s="56"/>
      <c r="D162" s="57"/>
      <c r="E162" s="35"/>
      <c r="F162" s="35"/>
    </row>
    <row r="163" spans="1:6" x14ac:dyDescent="0.25">
      <c r="A163" s="52"/>
      <c r="B163" s="45">
        <v>4</v>
      </c>
      <c r="C163" s="47" t="s">
        <v>169</v>
      </c>
      <c r="D163" s="35">
        <f>COUNTIF([2]Ecuador!$AR:$AR,"4")+COUNTIF([2]Ecuador!$DE:$DE,"4")</f>
        <v>26</v>
      </c>
      <c r="E163" s="38">
        <f t="shared" ref="E163:E167" si="24">D163/$D$21</f>
        <v>0.78787878787878785</v>
      </c>
      <c r="F163" s="35"/>
    </row>
    <row r="164" spans="1:6" x14ac:dyDescent="0.25">
      <c r="A164" s="52"/>
      <c r="B164" s="45">
        <v>3</v>
      </c>
      <c r="C164" s="47" t="s">
        <v>154</v>
      </c>
      <c r="D164" s="35">
        <f>COUNTIF([2]Ecuador!$AR:$AR,"3")+COUNTIF([2]Ecuador!$DE:$DE,"3")</f>
        <v>3</v>
      </c>
      <c r="E164" s="38">
        <f t="shared" si="24"/>
        <v>9.0909090909090912E-2</v>
      </c>
      <c r="F164" s="35"/>
    </row>
    <row r="165" spans="1:6" x14ac:dyDescent="0.25">
      <c r="A165" s="52"/>
      <c r="B165" s="45">
        <v>2</v>
      </c>
      <c r="C165" s="47" t="s">
        <v>155</v>
      </c>
      <c r="D165" s="35">
        <f>COUNTIF([2]Ecuador!$AR:$AR,"2")+COUNTIF([2]Ecuador!$DE:$DE,"2")</f>
        <v>1</v>
      </c>
      <c r="E165" s="38">
        <f t="shared" si="24"/>
        <v>3.0303030303030304E-2</v>
      </c>
      <c r="F165" s="35"/>
    </row>
    <row r="166" spans="1:6" x14ac:dyDescent="0.25">
      <c r="A166" s="52"/>
      <c r="B166" s="45">
        <v>1</v>
      </c>
      <c r="C166" s="47" t="s">
        <v>156</v>
      </c>
      <c r="D166" s="35">
        <f>COUNTIF([2]Ecuador!$AR:$AR,"1")+COUNTIF([2]Ecuador!$DE:$DE,"1")</f>
        <v>0</v>
      </c>
      <c r="E166" s="38">
        <f t="shared" si="24"/>
        <v>0</v>
      </c>
      <c r="F166" s="35"/>
    </row>
    <row r="167" spans="1:6" x14ac:dyDescent="0.25">
      <c r="A167" s="52"/>
      <c r="B167" s="45">
        <v>0</v>
      </c>
      <c r="C167" s="46" t="s">
        <v>165</v>
      </c>
      <c r="D167" s="35">
        <f>COUNTIF([2]Ecuador!$AR:$AR,"0")+COUNTIF([2]Ecuador!$DE:$DE,"0")</f>
        <v>3</v>
      </c>
      <c r="E167" s="38">
        <f t="shared" si="24"/>
        <v>9.0909090909090912E-2</v>
      </c>
      <c r="F167" s="35"/>
    </row>
    <row r="168" spans="1:6" x14ac:dyDescent="0.25">
      <c r="A168" s="52"/>
      <c r="B168" s="45"/>
      <c r="C168" s="46"/>
      <c r="D168" s="15">
        <f>SUM(D163:D167)</f>
        <v>33</v>
      </c>
      <c r="E168" s="38"/>
      <c r="F168" s="35"/>
    </row>
    <row r="169" spans="1:6" x14ac:dyDescent="0.25">
      <c r="A169" s="52"/>
      <c r="B169" s="45"/>
      <c r="C169" s="46"/>
      <c r="E169" s="38"/>
      <c r="F169" s="35"/>
    </row>
    <row r="170" spans="1:6" x14ac:dyDescent="0.25">
      <c r="A170" s="56" t="s">
        <v>172</v>
      </c>
      <c r="B170" s="56"/>
      <c r="C170" s="56"/>
      <c r="D170" s="57"/>
      <c r="E170" s="35"/>
      <c r="F170" s="35"/>
    </row>
    <row r="171" spans="1:6" x14ac:dyDescent="0.25">
      <c r="A171" s="52"/>
      <c r="B171" s="36" t="s">
        <v>59</v>
      </c>
      <c r="C171" s="46" t="s">
        <v>173</v>
      </c>
      <c r="D171" s="35">
        <f>COUNTIF([2]Ecuador!$AS:$AS,"M")</f>
        <v>32</v>
      </c>
      <c r="E171" s="38">
        <f>D171/$D$174</f>
        <v>0.96969696969696972</v>
      </c>
      <c r="F171" s="35"/>
    </row>
    <row r="172" spans="1:6" x14ac:dyDescent="0.25">
      <c r="A172" s="52"/>
      <c r="B172" s="36" t="s">
        <v>170</v>
      </c>
      <c r="C172" s="36" t="s">
        <v>174</v>
      </c>
      <c r="D172" s="35">
        <f>COUNTIF([2]Ecuador!$AS:$AS,"t")</f>
        <v>1</v>
      </c>
      <c r="E172" s="38">
        <f>D172/$D$174</f>
        <v>3.0303030303030304E-2</v>
      </c>
      <c r="F172" s="35"/>
    </row>
    <row r="173" spans="1:6" x14ac:dyDescent="0.25">
      <c r="A173" s="52"/>
      <c r="B173" s="36" t="s">
        <v>68</v>
      </c>
      <c r="C173" s="36" t="s">
        <v>201</v>
      </c>
      <c r="D173" s="35">
        <f>COUNTIF([2]Ecuador!$AS:$AS,"n/a")</f>
        <v>0</v>
      </c>
      <c r="E173" s="38">
        <f>D173/$D$174</f>
        <v>0</v>
      </c>
      <c r="F173" s="35"/>
    </row>
    <row r="174" spans="1:6" x14ac:dyDescent="0.25">
      <c r="B174" s="36" t="s">
        <v>171</v>
      </c>
      <c r="C174" s="36"/>
      <c r="D174" s="14">
        <f>SUM(D171:D173)</f>
        <v>33</v>
      </c>
      <c r="E174" s="40">
        <f>SUM(E171:E173)</f>
        <v>1</v>
      </c>
    </row>
  </sheetData>
  <conditionalFormatting sqref="J22:J23">
    <cfRule type="expression" dxfId="5" priority="5">
      <formula>#REF!="YES"</formula>
    </cfRule>
  </conditionalFormatting>
  <conditionalFormatting sqref="J22:J23">
    <cfRule type="expression" dxfId="4" priority="4">
      <formula>OR(COLUMN(J22)=2,COLUMN(J22)=3,COLUMN(J22)=7,COLUMN(J22)=18,COLUMN(J22)=24,COLUMN(J22)=30,COLUMN(J22)=36,COLUMN(J22)=42,COLUMN(J22)=44,COLUMN(J22)=59,COLUMN(J22)=73,COLUMN(J22)=88,COLUMN(J22)=107,COLUMN(J22)=109,COLUMN(J22)=110,COLUMN(J22)=112,COLUMN(J22)=119)</formula>
    </cfRule>
  </conditionalFormatting>
  <conditionalFormatting sqref="J22:J23">
    <cfRule type="expression" dxfId="3" priority="6">
      <formula>NOT(ISERROR(SEARCH("_GEM",#REF!)))</formula>
    </cfRule>
  </conditionalFormatting>
  <conditionalFormatting sqref="K22:L23">
    <cfRule type="expression" dxfId="2" priority="2">
      <formula>#REF!="YES"</formula>
    </cfRule>
  </conditionalFormatting>
  <conditionalFormatting sqref="K22:L23">
    <cfRule type="expression" dxfId="1" priority="1">
      <formula>OR(COLUMN(K22)=2,COLUMN(K22)=3,COLUMN(K22)=7,COLUMN(K22)=18,COLUMN(K22)=24,COLUMN(K22)=30,COLUMN(K22)=36,COLUMN(K22)=42,COLUMN(K22)=44,COLUMN(K22)=59,COLUMN(K22)=73,COLUMN(K22)=88,COLUMN(K22)=107,COLUMN(K22)=109,COLUMN(K22)=110,COLUMN(K22)=112,COLUMN(K22)=119)</formula>
    </cfRule>
  </conditionalFormatting>
  <conditionalFormatting sqref="K22:L23">
    <cfRule type="expression" dxfId="0" priority="3">
      <formula>NOT(ISERROR(SEARCH("_GEM",#REF!)))</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478AC-BAE2-4FB6-BB8A-CECE1CA6D60F}">
  <dimension ref="A1:P19"/>
  <sheetViews>
    <sheetView workbookViewId="0">
      <pane ySplit="1" topLeftCell="A2" activePane="bottomLeft" state="frozen"/>
      <selection pane="bottomLeft" sqref="A1:XFD1048576"/>
    </sheetView>
  </sheetViews>
  <sheetFormatPr defaultRowHeight="15" x14ac:dyDescent="0.25"/>
  <cols>
    <col min="1" max="1" width="10.85546875" customWidth="1"/>
  </cols>
  <sheetData>
    <row r="1" spans="1:16" ht="15.75" thickBot="1" x14ac:dyDescent="0.3">
      <c r="A1" s="79" t="s">
        <v>210</v>
      </c>
      <c r="B1" s="80" t="s">
        <v>211</v>
      </c>
      <c r="C1" s="81" t="s">
        <v>228</v>
      </c>
      <c r="D1" s="82"/>
      <c r="E1" s="83"/>
      <c r="G1" s="26" t="s">
        <v>202</v>
      </c>
      <c r="H1" s="18" t="s">
        <v>203</v>
      </c>
      <c r="I1" s="72" t="s">
        <v>204</v>
      </c>
      <c r="J1" s="72" t="s">
        <v>205</v>
      </c>
      <c r="K1" s="72" t="s">
        <v>206</v>
      </c>
      <c r="L1" s="73" t="s">
        <v>207</v>
      </c>
      <c r="M1" s="74" t="s">
        <v>208</v>
      </c>
      <c r="N1" s="74">
        <v>0</v>
      </c>
      <c r="O1" s="75" t="s">
        <v>68</v>
      </c>
      <c r="P1" s="14" t="s">
        <v>171</v>
      </c>
    </row>
    <row r="2" spans="1:16" ht="24.75" thickBot="1" x14ac:dyDescent="0.3">
      <c r="A2" s="79"/>
      <c r="B2" s="80"/>
      <c r="C2" s="65" t="s">
        <v>229</v>
      </c>
      <c r="D2" s="66" t="s">
        <v>230</v>
      </c>
      <c r="E2" s="66" t="s">
        <v>231</v>
      </c>
    </row>
    <row r="3" spans="1:16" ht="15.75" thickBot="1" x14ac:dyDescent="0.3">
      <c r="A3" s="63" t="s">
        <v>212</v>
      </c>
      <c r="B3" s="64">
        <v>17</v>
      </c>
      <c r="C3" s="67">
        <v>6</v>
      </c>
      <c r="D3" s="62">
        <v>5</v>
      </c>
      <c r="E3" s="62">
        <v>6</v>
      </c>
      <c r="F3" s="16"/>
      <c r="G3" s="20">
        <v>8</v>
      </c>
      <c r="H3" s="20">
        <v>2</v>
      </c>
      <c r="I3" s="20">
        <v>2</v>
      </c>
      <c r="J3" s="20">
        <v>2</v>
      </c>
      <c r="K3" s="20">
        <v>0</v>
      </c>
      <c r="L3" s="20">
        <v>1</v>
      </c>
      <c r="M3" s="20">
        <v>0</v>
      </c>
      <c r="N3" s="20">
        <v>2</v>
      </c>
      <c r="O3" s="20">
        <v>0</v>
      </c>
      <c r="P3">
        <v>17</v>
      </c>
    </row>
    <row r="4" spans="1:16" ht="15.75" thickBot="1" x14ac:dyDescent="0.3">
      <c r="A4" s="63" t="s">
        <v>213</v>
      </c>
      <c r="B4" s="64">
        <v>1</v>
      </c>
      <c r="C4" s="68"/>
      <c r="D4" s="69"/>
      <c r="E4" s="62">
        <v>1</v>
      </c>
      <c r="F4" s="20"/>
      <c r="G4" s="20">
        <v>1</v>
      </c>
      <c r="H4" s="20"/>
      <c r="I4" s="20"/>
      <c r="J4" s="20"/>
      <c r="K4" s="20"/>
      <c r="L4" s="20"/>
      <c r="M4" s="20"/>
      <c r="N4" s="20"/>
      <c r="O4" s="20"/>
      <c r="P4">
        <v>1</v>
      </c>
    </row>
    <row r="5" spans="1:16" ht="15.75" thickBot="1" x14ac:dyDescent="0.3">
      <c r="A5" s="63" t="s">
        <v>214</v>
      </c>
      <c r="B5" s="64">
        <v>5</v>
      </c>
      <c r="C5" s="67">
        <v>5</v>
      </c>
      <c r="D5" s="69"/>
      <c r="E5" s="69"/>
      <c r="F5" s="20"/>
      <c r="G5" s="20">
        <v>4</v>
      </c>
      <c r="H5" s="20"/>
      <c r="I5" s="20"/>
      <c r="J5" s="20"/>
      <c r="K5" s="20"/>
      <c r="L5" s="20">
        <v>1</v>
      </c>
      <c r="M5" s="20"/>
      <c r="N5" s="20"/>
      <c r="O5" s="20"/>
      <c r="P5">
        <v>5</v>
      </c>
    </row>
    <row r="6" spans="1:16" ht="15.75" thickBot="1" x14ac:dyDescent="0.3">
      <c r="A6" s="63" t="s">
        <v>215</v>
      </c>
      <c r="B6" s="64">
        <v>16</v>
      </c>
      <c r="C6" s="67">
        <v>7</v>
      </c>
      <c r="D6" s="62">
        <v>2</v>
      </c>
      <c r="E6" s="62">
        <v>7</v>
      </c>
      <c r="F6" s="20"/>
      <c r="G6" s="20">
        <v>9</v>
      </c>
      <c r="H6" s="20">
        <v>0</v>
      </c>
      <c r="I6" s="20">
        <v>1</v>
      </c>
      <c r="J6" s="20">
        <v>0</v>
      </c>
      <c r="K6" s="20">
        <v>1</v>
      </c>
      <c r="L6" s="20"/>
      <c r="M6" s="20">
        <v>1</v>
      </c>
      <c r="N6" s="20">
        <v>4</v>
      </c>
      <c r="O6" s="20">
        <v>0</v>
      </c>
      <c r="P6">
        <v>16</v>
      </c>
    </row>
    <row r="7" spans="1:16" ht="15.75" thickBot="1" x14ac:dyDescent="0.3">
      <c r="A7" s="63" t="s">
        <v>216</v>
      </c>
      <c r="B7" s="64">
        <v>55</v>
      </c>
      <c r="C7" s="67">
        <v>24</v>
      </c>
      <c r="D7" s="62">
        <v>8</v>
      </c>
      <c r="E7" s="62">
        <v>23</v>
      </c>
      <c r="F7" s="20"/>
      <c r="G7" s="20">
        <v>38</v>
      </c>
      <c r="H7" s="20">
        <v>2</v>
      </c>
      <c r="I7" s="20">
        <v>6</v>
      </c>
      <c r="J7" s="20">
        <v>0</v>
      </c>
      <c r="K7" s="20">
        <v>1</v>
      </c>
      <c r="L7" s="20">
        <v>2</v>
      </c>
      <c r="M7" s="20">
        <v>0</v>
      </c>
      <c r="N7" s="20">
        <v>4</v>
      </c>
      <c r="O7" s="20">
        <v>2</v>
      </c>
      <c r="P7">
        <v>55</v>
      </c>
    </row>
    <row r="8" spans="1:16" ht="15.75" thickBot="1" x14ac:dyDescent="0.3">
      <c r="A8" s="63" t="s">
        <v>217</v>
      </c>
      <c r="B8" s="64">
        <v>4</v>
      </c>
      <c r="C8" s="67">
        <v>1</v>
      </c>
      <c r="D8" s="62">
        <v>2</v>
      </c>
      <c r="E8" s="62">
        <v>1</v>
      </c>
      <c r="G8" s="20">
        <v>2</v>
      </c>
      <c r="H8" s="20"/>
      <c r="I8" s="20">
        <v>1</v>
      </c>
      <c r="J8" s="20"/>
      <c r="K8" s="20"/>
      <c r="L8" s="20">
        <v>1</v>
      </c>
      <c r="M8" s="20"/>
      <c r="N8" s="20"/>
      <c r="O8" s="20"/>
      <c r="P8">
        <v>4</v>
      </c>
    </row>
    <row r="9" spans="1:16" ht="15.75" thickBot="1" x14ac:dyDescent="0.3">
      <c r="A9" s="63" t="s">
        <v>218</v>
      </c>
      <c r="B9" s="64">
        <v>8</v>
      </c>
      <c r="C9" s="67">
        <v>1</v>
      </c>
      <c r="D9" s="69"/>
      <c r="E9" s="62">
        <v>7</v>
      </c>
      <c r="G9" s="20">
        <v>4</v>
      </c>
      <c r="H9" s="20"/>
      <c r="I9" s="20">
        <v>1</v>
      </c>
      <c r="J9" s="20"/>
      <c r="K9" s="20"/>
      <c r="L9" s="20"/>
      <c r="M9" s="20">
        <v>2</v>
      </c>
      <c r="N9" s="20">
        <v>1</v>
      </c>
      <c r="O9" s="20"/>
      <c r="P9">
        <v>8</v>
      </c>
    </row>
    <row r="10" spans="1:16" ht="30.75" thickBot="1" x14ac:dyDescent="0.3">
      <c r="A10" s="63" t="s">
        <v>219</v>
      </c>
      <c r="B10" s="64">
        <v>7</v>
      </c>
      <c r="C10" s="67">
        <v>1</v>
      </c>
      <c r="D10" s="69"/>
      <c r="E10" s="62">
        <v>6</v>
      </c>
      <c r="G10" s="20">
        <v>5</v>
      </c>
      <c r="H10" s="20"/>
      <c r="I10" s="20"/>
      <c r="J10" s="20"/>
      <c r="K10" s="20"/>
      <c r="L10" s="20">
        <v>1</v>
      </c>
      <c r="M10" s="20"/>
      <c r="N10" s="20">
        <v>1</v>
      </c>
      <c r="O10" s="20"/>
      <c r="P10">
        <v>7</v>
      </c>
    </row>
    <row r="11" spans="1:16" ht="15.75" thickBot="1" x14ac:dyDescent="0.3">
      <c r="A11" s="63" t="s">
        <v>220</v>
      </c>
      <c r="B11" s="64">
        <v>33</v>
      </c>
      <c r="C11" s="67">
        <v>6</v>
      </c>
      <c r="D11" s="62">
        <v>8</v>
      </c>
      <c r="E11" s="62">
        <v>19</v>
      </c>
      <c r="G11" s="20">
        <v>25</v>
      </c>
      <c r="H11" s="20">
        <v>1</v>
      </c>
      <c r="I11" s="20">
        <v>3</v>
      </c>
      <c r="J11" s="20">
        <v>0</v>
      </c>
      <c r="K11" s="20">
        <v>1</v>
      </c>
      <c r="L11" s="20">
        <v>0</v>
      </c>
      <c r="M11" s="20">
        <v>0</v>
      </c>
      <c r="N11" s="20">
        <v>3</v>
      </c>
      <c r="O11" s="20">
        <v>0</v>
      </c>
      <c r="P11">
        <v>33</v>
      </c>
    </row>
    <row r="12" spans="1:16" ht="15.75" thickBot="1" x14ac:dyDescent="0.3">
      <c r="A12" s="63" t="s">
        <v>221</v>
      </c>
      <c r="B12" s="64">
        <v>4</v>
      </c>
      <c r="C12" s="67">
        <v>1</v>
      </c>
      <c r="D12" s="69"/>
      <c r="E12" s="62">
        <v>3</v>
      </c>
      <c r="G12" s="20">
        <v>2</v>
      </c>
      <c r="H12" s="20"/>
      <c r="I12" s="20">
        <v>1</v>
      </c>
      <c r="J12" s="20"/>
      <c r="K12" s="20"/>
      <c r="L12" s="20"/>
      <c r="M12" s="20"/>
      <c r="N12" s="20"/>
      <c r="O12" s="20">
        <v>1</v>
      </c>
      <c r="P12">
        <v>4</v>
      </c>
    </row>
    <row r="13" spans="1:16" ht="15.75" thickBot="1" x14ac:dyDescent="0.3">
      <c r="A13" s="63" t="s">
        <v>222</v>
      </c>
      <c r="B13" s="64">
        <v>1</v>
      </c>
      <c r="C13" s="68"/>
      <c r="D13" s="62">
        <v>1</v>
      </c>
      <c r="E13" s="69"/>
      <c r="G13" s="20">
        <v>1</v>
      </c>
      <c r="H13" s="20"/>
      <c r="I13" s="20"/>
      <c r="J13" s="20"/>
      <c r="K13" s="20"/>
      <c r="L13" s="20"/>
      <c r="M13" s="20"/>
      <c r="N13" s="20"/>
      <c r="O13" s="20"/>
      <c r="P13">
        <v>1</v>
      </c>
    </row>
    <row r="14" spans="1:16" ht="15.75" thickBot="1" x14ac:dyDescent="0.3">
      <c r="A14" s="63" t="s">
        <v>223</v>
      </c>
      <c r="B14" s="64">
        <v>10</v>
      </c>
      <c r="C14" s="70">
        <v>5</v>
      </c>
      <c r="D14" s="71">
        <v>1</v>
      </c>
      <c r="E14" s="71">
        <v>4</v>
      </c>
      <c r="G14" s="20">
        <v>8</v>
      </c>
      <c r="H14" s="20">
        <v>0</v>
      </c>
      <c r="I14" s="20">
        <v>0</v>
      </c>
      <c r="J14" s="20">
        <v>0</v>
      </c>
      <c r="K14" s="20">
        <v>0</v>
      </c>
      <c r="L14" s="20">
        <v>1</v>
      </c>
      <c r="M14" s="20">
        <v>1</v>
      </c>
      <c r="N14" s="20">
        <v>0</v>
      </c>
      <c r="O14" s="20">
        <v>0</v>
      </c>
      <c r="P14">
        <v>10</v>
      </c>
    </row>
    <row r="15" spans="1:16" ht="15.75" thickBot="1" x14ac:dyDescent="0.3">
      <c r="A15" s="63" t="s">
        <v>224</v>
      </c>
      <c r="B15" s="64">
        <v>17</v>
      </c>
      <c r="C15" s="70">
        <v>6</v>
      </c>
      <c r="D15" s="71">
        <v>1</v>
      </c>
      <c r="E15" s="71">
        <v>10</v>
      </c>
      <c r="G15" s="20">
        <v>11</v>
      </c>
      <c r="H15" s="20">
        <v>3</v>
      </c>
      <c r="I15" s="20">
        <v>1</v>
      </c>
      <c r="J15" s="20">
        <v>0</v>
      </c>
      <c r="K15" s="20">
        <v>0</v>
      </c>
      <c r="L15" s="20">
        <v>1</v>
      </c>
      <c r="M15" s="20">
        <v>0</v>
      </c>
      <c r="N15" s="20">
        <v>1</v>
      </c>
      <c r="O15" s="20">
        <v>0</v>
      </c>
      <c r="P15">
        <v>17</v>
      </c>
    </row>
    <row r="16" spans="1:16" ht="15.75" thickBot="1" x14ac:dyDescent="0.3">
      <c r="A16" s="63" t="s">
        <v>225</v>
      </c>
      <c r="B16" s="64">
        <v>6</v>
      </c>
      <c r="C16" s="70">
        <v>2</v>
      </c>
      <c r="D16" s="71">
        <v>2</v>
      </c>
      <c r="E16" s="71">
        <v>2</v>
      </c>
      <c r="G16" s="20">
        <v>5</v>
      </c>
      <c r="H16" s="20">
        <v>1</v>
      </c>
      <c r="I16" s="20"/>
      <c r="J16" s="20"/>
      <c r="K16" s="20"/>
      <c r="L16" s="20"/>
      <c r="M16" s="20"/>
      <c r="N16" s="20"/>
      <c r="O16" s="20"/>
      <c r="P16">
        <v>6</v>
      </c>
    </row>
    <row r="17" spans="1:16" ht="30.75" thickBot="1" x14ac:dyDescent="0.3">
      <c r="A17" s="63" t="s">
        <v>226</v>
      </c>
      <c r="B17" s="64">
        <v>7</v>
      </c>
      <c r="C17" s="70">
        <v>2</v>
      </c>
      <c r="D17" s="71">
        <v>1</v>
      </c>
      <c r="E17" s="71">
        <v>4</v>
      </c>
      <c r="G17" s="20">
        <v>3</v>
      </c>
      <c r="H17" s="20"/>
      <c r="I17" s="20">
        <v>2</v>
      </c>
      <c r="J17" s="20"/>
      <c r="K17" s="20">
        <v>1</v>
      </c>
      <c r="L17" s="20">
        <v>1</v>
      </c>
      <c r="M17" s="20">
        <v>0</v>
      </c>
      <c r="N17" s="20">
        <v>0</v>
      </c>
      <c r="O17" s="20">
        <v>0</v>
      </c>
      <c r="P17">
        <v>7</v>
      </c>
    </row>
    <row r="18" spans="1:16" ht="15.75" thickBot="1" x14ac:dyDescent="0.3">
      <c r="A18" s="63" t="s">
        <v>227</v>
      </c>
      <c r="B18" s="64">
        <v>10</v>
      </c>
      <c r="C18" s="70">
        <v>1</v>
      </c>
      <c r="D18" s="71">
        <v>3</v>
      </c>
      <c r="E18" s="71">
        <v>6</v>
      </c>
      <c r="G18" s="20">
        <v>6</v>
      </c>
      <c r="H18" s="20">
        <v>0</v>
      </c>
      <c r="I18" s="20">
        <v>2</v>
      </c>
      <c r="J18" s="20">
        <v>0</v>
      </c>
      <c r="K18" s="20">
        <v>0</v>
      </c>
      <c r="L18" s="20">
        <v>1</v>
      </c>
      <c r="M18" s="20">
        <v>0</v>
      </c>
      <c r="N18" s="20">
        <v>1</v>
      </c>
      <c r="O18" s="20">
        <v>0</v>
      </c>
      <c r="P18">
        <v>10</v>
      </c>
    </row>
    <row r="19" spans="1:16" x14ac:dyDescent="0.25">
      <c r="B19">
        <f>SUM(B3:B18)</f>
        <v>201</v>
      </c>
      <c r="P19">
        <v>201</v>
      </c>
    </row>
  </sheetData>
  <mergeCells count="3">
    <mergeCell ref="A1:A2"/>
    <mergeCell ref="B1:B2"/>
    <mergeCell ref="C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47FD3-045A-47BE-B1D5-A8A18F8ACBC0}">
  <dimension ref="A1:K19"/>
  <sheetViews>
    <sheetView topLeftCell="A2" workbookViewId="0">
      <selection activeCell="K1" sqref="K1:K1048576"/>
    </sheetView>
  </sheetViews>
  <sheetFormatPr defaultRowHeight="12.75" outlineLevelRow="1" x14ac:dyDescent="0.2"/>
  <cols>
    <col min="1" max="1" width="17.85546875" style="16" customWidth="1"/>
    <col min="2" max="2" width="8.7109375" style="20" hidden="1" customWidth="1"/>
    <col min="3" max="3" width="8.7109375" style="20" customWidth="1"/>
    <col min="4" max="4" width="8.7109375" style="20" hidden="1" customWidth="1"/>
    <col min="5" max="5" width="8.7109375" style="20" customWidth="1"/>
    <col min="6" max="6" width="8.7109375" style="20" hidden="1" customWidth="1"/>
    <col min="7" max="7" width="8.7109375" style="20" customWidth="1"/>
    <col min="8" max="8" width="8.7109375" style="20" hidden="1" customWidth="1"/>
    <col min="9" max="9" width="8.7109375" style="20" customWidth="1"/>
    <col min="10" max="10" width="8.7109375" style="20" hidden="1" customWidth="1"/>
    <col min="11" max="11" width="8.7109375" style="20" customWidth="1"/>
    <col min="12" max="16384" width="9.140625" style="16"/>
  </cols>
  <sheetData>
    <row r="1" spans="1:11" ht="38.25" outlineLevel="1" x14ac:dyDescent="0.2">
      <c r="B1" s="17" t="s">
        <v>200</v>
      </c>
      <c r="C1" s="17" t="s">
        <v>187</v>
      </c>
      <c r="D1" s="17" t="s">
        <v>179</v>
      </c>
      <c r="E1" s="17" t="s">
        <v>188</v>
      </c>
      <c r="F1" s="17" t="s">
        <v>180</v>
      </c>
      <c r="G1" s="17" t="s">
        <v>189</v>
      </c>
      <c r="H1" s="17" t="s">
        <v>181</v>
      </c>
      <c r="I1" s="17" t="s">
        <v>190</v>
      </c>
      <c r="J1" s="17" t="s">
        <v>182</v>
      </c>
      <c r="K1" s="17" t="s">
        <v>167</v>
      </c>
    </row>
    <row r="2" spans="1:11" ht="25.5" outlineLevel="1" x14ac:dyDescent="0.2">
      <c r="A2" s="19" t="s">
        <v>169</v>
      </c>
      <c r="B2" s="20">
        <f>'Design Data'!D47</f>
        <v>23</v>
      </c>
      <c r="C2" s="21">
        <f>B2/$B$7</f>
        <v>0.69696969696969702</v>
      </c>
      <c r="D2" s="20">
        <f>'Design Data'!D81</f>
        <v>25</v>
      </c>
      <c r="E2" s="21">
        <f>D2/$B$7</f>
        <v>0.75757575757575757</v>
      </c>
      <c r="F2" s="20">
        <f>'Design Data'!D115</f>
        <v>30</v>
      </c>
      <c r="G2" s="21">
        <f t="shared" ref="G2:G6" si="0">F2/$B$7</f>
        <v>0.90909090909090906</v>
      </c>
      <c r="H2" s="20">
        <f>'Design Data'!D155</f>
        <v>29</v>
      </c>
      <c r="I2" s="21">
        <f t="shared" ref="I2:I6" si="1">H2/$B$7</f>
        <v>0.87878787878787878</v>
      </c>
      <c r="J2" s="20">
        <f>'Design Data'!D163</f>
        <v>26</v>
      </c>
      <c r="K2" s="21">
        <f t="shared" ref="K2:K6" si="2">J2/$B$7</f>
        <v>0.78787878787878785</v>
      </c>
    </row>
    <row r="3" spans="1:11" ht="25.5" outlineLevel="1" x14ac:dyDescent="0.2">
      <c r="A3" s="19" t="s">
        <v>197</v>
      </c>
      <c r="B3" s="20">
        <f>'Design Data'!D48</f>
        <v>3</v>
      </c>
      <c r="C3" s="21">
        <f t="shared" ref="C3:C6" si="3">B3/$B$7</f>
        <v>9.0909090909090912E-2</v>
      </c>
      <c r="D3" s="20">
        <f>'Design Data'!D82</f>
        <v>1</v>
      </c>
      <c r="E3" s="21">
        <f t="shared" ref="E3:E6" si="4">D3/$B$7</f>
        <v>3.0303030303030304E-2</v>
      </c>
      <c r="F3" s="20">
        <f>'Design Data'!D116</f>
        <v>2</v>
      </c>
      <c r="G3" s="21">
        <f t="shared" si="0"/>
        <v>6.0606060606060608E-2</v>
      </c>
      <c r="H3" s="20">
        <f>'Design Data'!D156</f>
        <v>1</v>
      </c>
      <c r="I3" s="21">
        <f t="shared" si="1"/>
        <v>3.0303030303030304E-2</v>
      </c>
      <c r="J3" s="20">
        <f>'Design Data'!D164</f>
        <v>3</v>
      </c>
      <c r="K3" s="21">
        <f t="shared" si="2"/>
        <v>9.0909090909090912E-2</v>
      </c>
    </row>
    <row r="4" spans="1:11" ht="25.5" outlineLevel="1" x14ac:dyDescent="0.2">
      <c r="A4" s="19" t="s">
        <v>198</v>
      </c>
      <c r="B4" s="20">
        <f>'Design Data'!D49</f>
        <v>1</v>
      </c>
      <c r="C4" s="21">
        <f t="shared" si="3"/>
        <v>3.0303030303030304E-2</v>
      </c>
      <c r="D4" s="20">
        <f>'Design Data'!D83</f>
        <v>2</v>
      </c>
      <c r="E4" s="21">
        <f t="shared" si="4"/>
        <v>6.0606060606060608E-2</v>
      </c>
      <c r="F4" s="20">
        <f>'Design Data'!D117</f>
        <v>0</v>
      </c>
      <c r="G4" s="21">
        <f t="shared" si="0"/>
        <v>0</v>
      </c>
      <c r="H4" s="20">
        <f>'Design Data'!D157</f>
        <v>1</v>
      </c>
      <c r="I4" s="21">
        <f t="shared" si="1"/>
        <v>3.0303030303030304E-2</v>
      </c>
      <c r="J4" s="20">
        <f>'Design Data'!D165</f>
        <v>1</v>
      </c>
      <c r="K4" s="21">
        <f t="shared" si="2"/>
        <v>3.0303030303030304E-2</v>
      </c>
    </row>
    <row r="5" spans="1:11" ht="25.5" outlineLevel="1" x14ac:dyDescent="0.2">
      <c r="A5" s="19" t="s">
        <v>199</v>
      </c>
      <c r="B5" s="20">
        <f>'Design Data'!D50</f>
        <v>0</v>
      </c>
      <c r="C5" s="21">
        <f t="shared" si="3"/>
        <v>0</v>
      </c>
      <c r="D5" s="20">
        <f>'Design Data'!D84</f>
        <v>1</v>
      </c>
      <c r="E5" s="21">
        <f t="shared" si="4"/>
        <v>3.0303030303030304E-2</v>
      </c>
      <c r="F5" s="20">
        <f>'Design Data'!D118</f>
        <v>0</v>
      </c>
      <c r="G5" s="21">
        <f t="shared" si="0"/>
        <v>0</v>
      </c>
      <c r="H5" s="20">
        <f>'Design Data'!D158</f>
        <v>1</v>
      </c>
      <c r="I5" s="21">
        <f t="shared" si="1"/>
        <v>3.0303030303030304E-2</v>
      </c>
      <c r="J5" s="20">
        <f>'Design Data'!D166</f>
        <v>0</v>
      </c>
      <c r="K5" s="21">
        <f t="shared" si="2"/>
        <v>0</v>
      </c>
    </row>
    <row r="6" spans="1:11" ht="25.5" x14ac:dyDescent="0.2">
      <c r="A6" s="19" t="s">
        <v>175</v>
      </c>
      <c r="B6" s="20">
        <f>'Design Data'!D51</f>
        <v>6</v>
      </c>
      <c r="C6" s="21">
        <f t="shared" si="3"/>
        <v>0.18181818181818182</v>
      </c>
      <c r="D6" s="20">
        <f>'Design Data'!D85</f>
        <v>4</v>
      </c>
      <c r="E6" s="21">
        <f t="shared" si="4"/>
        <v>0.12121212121212122</v>
      </c>
      <c r="F6" s="20">
        <f>'Design Data'!D119</f>
        <v>1</v>
      </c>
      <c r="G6" s="21">
        <f t="shared" si="0"/>
        <v>3.0303030303030304E-2</v>
      </c>
      <c r="H6" s="20">
        <f>'Design Data'!D159</f>
        <v>1</v>
      </c>
      <c r="I6" s="21">
        <f t="shared" si="1"/>
        <v>3.0303030303030304E-2</v>
      </c>
      <c r="J6" s="20">
        <f>'Design Data'!D167</f>
        <v>3</v>
      </c>
      <c r="K6" s="21">
        <f t="shared" si="2"/>
        <v>9.0909090909090912E-2</v>
      </c>
    </row>
    <row r="7" spans="1:11" x14ac:dyDescent="0.2">
      <c r="B7" s="20">
        <f>SUM(B2:B6)</f>
        <v>33</v>
      </c>
      <c r="D7" s="20">
        <f>SUM(D2:D6)</f>
        <v>33</v>
      </c>
      <c r="F7" s="20">
        <f>SUM(F2:F6)</f>
        <v>33</v>
      </c>
      <c r="H7" s="20">
        <f>SUM(H2:H6)</f>
        <v>33</v>
      </c>
      <c r="J7" s="20">
        <f>SUM(J2:J6)</f>
        <v>33</v>
      </c>
    </row>
    <row r="8" spans="1:11" x14ac:dyDescent="0.2">
      <c r="A8" s="16" t="s">
        <v>209</v>
      </c>
    </row>
    <row r="9" spans="1:11" x14ac:dyDescent="0.2">
      <c r="A9" s="16" t="s">
        <v>202</v>
      </c>
      <c r="C9" s="20">
        <f>COUNTIF([2]Ecuador!$DH:$DH,"4M")</f>
        <v>25</v>
      </c>
      <c r="E9" s="21">
        <f t="shared" ref="E9:E18" si="5">C9/$C$19</f>
        <v>0.75757575757575757</v>
      </c>
    </row>
    <row r="10" spans="1:11" x14ac:dyDescent="0.2">
      <c r="A10" s="28" t="s">
        <v>203</v>
      </c>
      <c r="B10" s="29"/>
      <c r="C10" s="20">
        <f>COUNTIF([2]Ecuador!$DH:$DH,"4T")</f>
        <v>1</v>
      </c>
      <c r="D10" s="19"/>
      <c r="E10" s="21">
        <f t="shared" si="5"/>
        <v>3.0303030303030304E-2</v>
      </c>
      <c r="F10" s="19"/>
      <c r="G10" s="19"/>
      <c r="H10" s="22"/>
    </row>
    <row r="11" spans="1:11" x14ac:dyDescent="0.2">
      <c r="A11" s="30" t="s">
        <v>204</v>
      </c>
      <c r="B11" s="31"/>
      <c r="C11" s="20">
        <f>COUNTIF([2]Ecuador!$DH:$DH,"3M")</f>
        <v>3</v>
      </c>
      <c r="D11" s="16"/>
      <c r="E11" s="21">
        <f t="shared" si="5"/>
        <v>9.0909090909090912E-2</v>
      </c>
      <c r="G11" s="23"/>
      <c r="H11" s="16"/>
    </row>
    <row r="12" spans="1:11" x14ac:dyDescent="0.2">
      <c r="A12" s="30" t="s">
        <v>205</v>
      </c>
      <c r="B12" s="31"/>
      <c r="C12" s="20">
        <f>COUNTIF([2]Ecuador!$DH:$DH,"3T")</f>
        <v>0</v>
      </c>
      <c r="D12" s="16"/>
      <c r="E12" s="21">
        <f t="shared" si="5"/>
        <v>0</v>
      </c>
      <c r="G12" s="23"/>
      <c r="H12" s="16"/>
    </row>
    <row r="13" spans="1:11" x14ac:dyDescent="0.2">
      <c r="A13" s="30" t="s">
        <v>206</v>
      </c>
      <c r="B13" s="31"/>
      <c r="C13" s="20">
        <f>COUNTIF([2]Ecuador!$DH:$DH,"2M")</f>
        <v>1</v>
      </c>
      <c r="D13" s="16"/>
      <c r="E13" s="21">
        <f t="shared" si="5"/>
        <v>3.0303030303030304E-2</v>
      </c>
      <c r="G13" s="23"/>
      <c r="H13" s="16"/>
    </row>
    <row r="14" spans="1:11" x14ac:dyDescent="0.2">
      <c r="A14" s="30" t="s">
        <v>232</v>
      </c>
      <c r="B14" s="31"/>
      <c r="C14" s="20">
        <f>COUNTIF([2]Ecuador!$DH:$DH,"2T")</f>
        <v>0</v>
      </c>
      <c r="D14" s="16"/>
      <c r="E14" s="21">
        <f t="shared" si="5"/>
        <v>0</v>
      </c>
      <c r="G14" s="23"/>
      <c r="H14" s="16"/>
    </row>
    <row r="15" spans="1:11" x14ac:dyDescent="0.2">
      <c r="A15" s="25" t="s">
        <v>207</v>
      </c>
      <c r="B15" s="31"/>
      <c r="C15" s="20">
        <f>COUNTIF([2]Ecuador!$DH:$DH,"1M")</f>
        <v>0</v>
      </c>
      <c r="D15" s="16"/>
      <c r="E15" s="21">
        <f t="shared" si="5"/>
        <v>0</v>
      </c>
      <c r="G15" s="24"/>
      <c r="H15" s="16"/>
    </row>
    <row r="16" spans="1:11" x14ac:dyDescent="0.2">
      <c r="A16" s="32" t="s">
        <v>208</v>
      </c>
      <c r="B16" s="31"/>
      <c r="C16" s="20">
        <f>COUNTIF([2]Ecuador!$DH:$DH,"1T")</f>
        <v>0</v>
      </c>
      <c r="D16" s="16"/>
      <c r="E16" s="21">
        <f t="shared" si="5"/>
        <v>0</v>
      </c>
      <c r="G16" s="24"/>
      <c r="H16" s="16"/>
    </row>
    <row r="17" spans="1:8" x14ac:dyDescent="0.2">
      <c r="A17" s="32">
        <v>0</v>
      </c>
      <c r="B17" s="31"/>
      <c r="C17" s="20">
        <f>COUNTIF([2]Ecuador!$DH:$DH,"0M")</f>
        <v>3</v>
      </c>
      <c r="D17" s="16"/>
      <c r="E17" s="21">
        <f t="shared" si="5"/>
        <v>9.0909090909090912E-2</v>
      </c>
      <c r="G17" s="24"/>
      <c r="H17" s="16"/>
    </row>
    <row r="18" spans="1:8" x14ac:dyDescent="0.2">
      <c r="A18" s="33" t="s">
        <v>68</v>
      </c>
      <c r="B18" s="34"/>
      <c r="C18" s="20">
        <f>COUNTIF([2]Ecuador!$DH:$DH,"NA")</f>
        <v>0</v>
      </c>
      <c r="D18" s="16"/>
      <c r="E18" s="21">
        <f t="shared" si="5"/>
        <v>0</v>
      </c>
      <c r="G18" s="24"/>
      <c r="H18" s="26"/>
    </row>
    <row r="19" spans="1:8" x14ac:dyDescent="0.2">
      <c r="C19" s="20">
        <f>SUM(C9:C18)</f>
        <v>33</v>
      </c>
    </row>
  </sheetData>
  <pageMargins left="0.7" right="0.7" top="0.75" bottom="0.75" header="0.3" footer="0.3"/>
  <ignoredErrors>
    <ignoredError sqref="D6:I6 D2:I2 D3:I3 D4:I4 D5:I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18</vt:i4>
      </vt:variant>
    </vt:vector>
  </HeadingPairs>
  <TitlesOfParts>
    <vt:vector size="22" baseType="lpstr">
      <vt:lpstr>Intro</vt:lpstr>
      <vt:lpstr>Design Data</vt:lpstr>
      <vt:lpstr>Countries</vt:lpstr>
      <vt:lpstr>Coding Data</vt:lpstr>
      <vt:lpstr>GAM Codes</vt:lpstr>
      <vt:lpstr>GEM Codes</vt:lpstr>
      <vt:lpstr>Project Focus</vt:lpstr>
      <vt:lpstr>Design - Analysis</vt:lpstr>
      <vt:lpstr>Analysis - gender</vt:lpstr>
      <vt:lpstr>Analysis - Age</vt:lpstr>
      <vt:lpstr>GEM A Results</vt:lpstr>
      <vt:lpstr>Design - Activities Tailoring</vt:lpstr>
      <vt:lpstr>Tailoring - Gender</vt:lpstr>
      <vt:lpstr>GEM D Results</vt:lpstr>
      <vt:lpstr>Design - Participation</vt:lpstr>
      <vt:lpstr>Participation - Gender</vt:lpstr>
      <vt:lpstr>Participation - Age</vt:lpstr>
      <vt:lpstr>GEM G Results</vt:lpstr>
      <vt:lpstr>Design - Benefit Indicators</vt:lpstr>
      <vt:lpstr>Benefits - Gender</vt:lpstr>
      <vt:lpstr>Benefits - Age</vt:lpstr>
      <vt:lpstr>GEM J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Imboden</dc:creator>
  <cp:lastModifiedBy>CLIFTON</cp:lastModifiedBy>
  <dcterms:created xsi:type="dcterms:W3CDTF">2018-11-24T10:00:22Z</dcterms:created>
  <dcterms:modified xsi:type="dcterms:W3CDTF">2019-10-07T22:25:21Z</dcterms:modified>
</cp:coreProperties>
</file>